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Shared drives\CREW Members\Share Offers Research\Devas Share Documents\Standard Mark Assessment\"/>
    </mc:Choice>
  </mc:AlternateContent>
  <xr:revisionPtr revIDLastSave="0" documentId="13_ncr:1_{C9D9BCEF-53CC-4B70-B43A-99848ABF2DD3}" xr6:coauthVersionLast="46" xr6:coauthVersionMax="46" xr10:uidLastSave="{00000000-0000-0000-0000-000000000000}"/>
  <bookViews>
    <workbookView xWindow="-28920" yWindow="-120" windowWidth="29040" windowHeight="15840" tabRatio="852" firstSheet="1" activeTab="1" xr2:uid="{00000000-000D-0000-FFFF-FFFF00000000}"/>
  </bookViews>
  <sheets>
    <sheet name="Introduction" sheetId="7" state="hidden" r:id="rId1"/>
    <sheet name="Profit &amp; loss" sheetId="1" r:id="rId2"/>
    <sheet name="Capital funding" sheetId="6" r:id="rId3"/>
    <sheet name="Cash flow (year one)" sheetId="3" r:id="rId4"/>
    <sheet name="Cash flow (years 1-3)" sheetId="5" r:id="rId5"/>
    <sheet name="Balance sheet" sheetId="2" r:id="rId6"/>
    <sheet name="Share capital liquidity" sheetId="4" r:id="rId7"/>
    <sheet name="Projected Incom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5" l="1"/>
  <c r="C12" i="5"/>
  <c r="B4" i="2" l="1"/>
  <c r="C4" i="2" s="1"/>
  <c r="D4" i="2" s="1"/>
  <c r="E4" i="2" s="1"/>
  <c r="F4" i="2" s="1"/>
  <c r="G4" i="2" s="1"/>
  <c r="B6" i="2"/>
  <c r="C6" i="2" s="1"/>
  <c r="D6" i="2" s="1"/>
  <c r="E6" i="2" s="1"/>
  <c r="F6" i="2" s="1"/>
  <c r="G6" i="2" s="1"/>
  <c r="B3" i="3"/>
  <c r="D4" i="4" l="1"/>
  <c r="C4" i="4"/>
  <c r="E21" i="8"/>
  <c r="B13" i="3"/>
  <c r="D11" i="1"/>
  <c r="C11" i="1"/>
  <c r="B11" i="1"/>
  <c r="C4" i="1" l="1"/>
  <c r="D4" i="1"/>
  <c r="B4" i="1"/>
  <c r="F15" i="8"/>
  <c r="E15" i="8"/>
  <c r="D15" i="8"/>
  <c r="B5" i="1" s="1"/>
  <c r="C15" i="8"/>
  <c r="D9" i="8"/>
  <c r="E9" i="8"/>
  <c r="F9" i="8"/>
  <c r="C9" i="8"/>
  <c r="B22" i="5"/>
  <c r="C22" i="5"/>
  <c r="D22" i="5"/>
  <c r="F20" i="5"/>
  <c r="E20" i="5"/>
  <c r="D20" i="5"/>
  <c r="C20" i="5"/>
  <c r="B20" i="5"/>
  <c r="C30" i="8"/>
  <c r="B8" i="1"/>
  <c r="F31" i="8"/>
  <c r="D8" i="1" s="1"/>
  <c r="D31" i="8"/>
  <c r="C31" i="8"/>
  <c r="E30" i="8"/>
  <c r="E31" i="8" s="1"/>
  <c r="C8" i="1" s="1"/>
  <c r="F30" i="8"/>
  <c r="D30" i="8"/>
  <c r="C7" i="1"/>
  <c r="D7" i="1"/>
  <c r="B7" i="1"/>
  <c r="B6" i="1"/>
  <c r="F20" i="8"/>
  <c r="E20" i="8"/>
  <c r="F21" i="8" s="1"/>
  <c r="F26" i="8"/>
  <c r="F25" i="8"/>
  <c r="F27" i="8" s="1"/>
  <c r="F13" i="8"/>
  <c r="F12" i="8"/>
  <c r="F11" i="8"/>
  <c r="F10" i="8"/>
  <c r="D25" i="8"/>
  <c r="E25" i="8"/>
  <c r="D26" i="8"/>
  <c r="E26" i="8"/>
  <c r="C27" i="8"/>
  <c r="E27" i="8"/>
  <c r="D27" i="8"/>
  <c r="C22" i="8"/>
  <c r="D21" i="8"/>
  <c r="E14" i="8"/>
  <c r="D14" i="8"/>
  <c r="C14" i="8"/>
  <c r="E13" i="8"/>
  <c r="D13" i="8"/>
  <c r="D12" i="8"/>
  <c r="D11" i="8"/>
  <c r="D10" i="8"/>
  <c r="C10" i="8"/>
  <c r="B3" i="5"/>
  <c r="B14" i="1"/>
  <c r="B7" i="3"/>
  <c r="B12" i="3"/>
  <c r="N12" i="3" s="1"/>
  <c r="B12" i="5" s="1"/>
  <c r="B6" i="3"/>
  <c r="B5" i="3"/>
  <c r="B4" i="4"/>
  <c r="C14" i="6"/>
  <c r="D19" i="5"/>
  <c r="B3" i="2"/>
  <c r="E10" i="1"/>
  <c r="E12" i="1" s="1"/>
  <c r="F19" i="5"/>
  <c r="F10" i="1"/>
  <c r="F12" i="1" s="1"/>
  <c r="B9" i="2"/>
  <c r="B11" i="2"/>
  <c r="B12" i="2"/>
  <c r="C12" i="2" s="1"/>
  <c r="E6" i="4"/>
  <c r="E8" i="5"/>
  <c r="E9" i="5" s="1"/>
  <c r="E13" i="5"/>
  <c r="E24" i="5"/>
  <c r="F8" i="5"/>
  <c r="F9" i="5" s="1"/>
  <c r="F13" i="5"/>
  <c r="F24" i="5"/>
  <c r="N19" i="3"/>
  <c r="B19" i="5" s="1"/>
  <c r="B23" i="5"/>
  <c r="B24" i="5"/>
  <c r="C16" i="1"/>
  <c r="D16" i="1" s="1"/>
  <c r="E16" i="1" s="1"/>
  <c r="F16" i="1" s="1"/>
  <c r="C17" i="1"/>
  <c r="D17" i="1" s="1"/>
  <c r="E17" i="1" s="1"/>
  <c r="F17" i="1" s="1"/>
  <c r="C18" i="1"/>
  <c r="D18" i="1" s="1"/>
  <c r="E18" i="1" s="1"/>
  <c r="F18" i="1" s="1"/>
  <c r="F6" i="4"/>
  <c r="C5" i="5"/>
  <c r="C13" i="5" s="1"/>
  <c r="D5" i="5"/>
  <c r="D13" i="5" s="1"/>
  <c r="B5" i="5"/>
  <c r="B27" i="1"/>
  <c r="N6" i="3"/>
  <c r="B6" i="5" s="1"/>
  <c r="N7" i="3"/>
  <c r="B7" i="5" s="1"/>
  <c r="B5" i="4"/>
  <c r="B6" i="4"/>
  <c r="C6" i="4"/>
  <c r="D14" i="6"/>
  <c r="B14" i="6"/>
  <c r="D7" i="6"/>
  <c r="B7" i="6"/>
  <c r="C7" i="6"/>
  <c r="N20" i="3"/>
  <c r="N5" i="3"/>
  <c r="E13" i="3"/>
  <c r="F13" i="3"/>
  <c r="G13" i="3"/>
  <c r="H13" i="3"/>
  <c r="I13" i="3"/>
  <c r="J13" i="3"/>
  <c r="K13" i="3"/>
  <c r="L13" i="3"/>
  <c r="M13" i="3"/>
  <c r="C13" i="3"/>
  <c r="D13" i="3"/>
  <c r="B13" i="2" l="1"/>
  <c r="B5" i="2" s="1"/>
  <c r="C3" i="2"/>
  <c r="B21" i="1"/>
  <c r="B7" i="2"/>
  <c r="B9" i="1"/>
  <c r="B15" i="1"/>
  <c r="B19" i="1" s="1"/>
  <c r="B10" i="1"/>
  <c r="D5" i="1"/>
  <c r="D15" i="1" s="1"/>
  <c r="C5" i="1"/>
  <c r="C15" i="1" s="1"/>
  <c r="F14" i="5"/>
  <c r="F15" i="5" s="1"/>
  <c r="E14" i="5"/>
  <c r="E15" i="5" s="1"/>
  <c r="D22" i="8"/>
  <c r="E19" i="5"/>
  <c r="C19" i="5"/>
  <c r="B26" i="1"/>
  <c r="F12" i="2"/>
  <c r="F26" i="1" s="1"/>
  <c r="B8" i="4"/>
  <c r="C9" i="2" s="1"/>
  <c r="D12" i="2"/>
  <c r="E12" i="2"/>
  <c r="N13" i="3"/>
  <c r="B13" i="5" s="1"/>
  <c r="D3" i="2" l="1"/>
  <c r="C21" i="1"/>
  <c r="B12" i="1"/>
  <c r="G8" i="3"/>
  <c r="G9" i="3" s="1"/>
  <c r="G10" i="3" s="1"/>
  <c r="E26" i="1"/>
  <c r="E8" i="3"/>
  <c r="E9" i="3" s="1"/>
  <c r="E10" i="3" s="1"/>
  <c r="C8" i="3"/>
  <c r="C9" i="3" s="1"/>
  <c r="F8" i="3"/>
  <c r="F9" i="3" s="1"/>
  <c r="I8" i="3"/>
  <c r="I9" i="3" s="1"/>
  <c r="I10" i="3" s="1"/>
  <c r="H8" i="3"/>
  <c r="H9" i="3" s="1"/>
  <c r="H10" i="3" s="1"/>
  <c r="D8" i="3"/>
  <c r="D9" i="3" s="1"/>
  <c r="D10" i="3" s="1"/>
  <c r="B8" i="3"/>
  <c r="B9" i="3" s="1"/>
  <c r="B10" i="3" s="1"/>
  <c r="L8" i="3"/>
  <c r="L9" i="3" s="1"/>
  <c r="L10" i="3" s="1"/>
  <c r="J8" i="3"/>
  <c r="J9" i="3" s="1"/>
  <c r="J10" i="3" s="1"/>
  <c r="M8" i="3"/>
  <c r="M9" i="3" s="1"/>
  <c r="M10" i="3" s="1"/>
  <c r="K8" i="3"/>
  <c r="K9" i="3" s="1"/>
  <c r="K10" i="3" s="1"/>
  <c r="L16" i="3"/>
  <c r="L17" i="3" s="1"/>
  <c r="D16" i="3"/>
  <c r="D17" i="3" s="1"/>
  <c r="K16" i="3"/>
  <c r="K17" i="3" s="1"/>
  <c r="C16" i="3"/>
  <c r="C17" i="3" s="1"/>
  <c r="F16" i="3"/>
  <c r="F17" i="3" s="1"/>
  <c r="J16" i="3"/>
  <c r="J17" i="3" s="1"/>
  <c r="B16" i="3"/>
  <c r="I16" i="3"/>
  <c r="I17" i="3" s="1"/>
  <c r="H16" i="3"/>
  <c r="H17" i="3" s="1"/>
  <c r="G16" i="3"/>
  <c r="G17" i="3" s="1"/>
  <c r="M16" i="3"/>
  <c r="M17" i="3" s="1"/>
  <c r="E16" i="3"/>
  <c r="E17" i="3" s="1"/>
  <c r="B16" i="5"/>
  <c r="B14" i="5"/>
  <c r="F14" i="3"/>
  <c r="M14" i="3"/>
  <c r="M15" i="3" s="1"/>
  <c r="E14" i="3"/>
  <c r="K14" i="3"/>
  <c r="C14" i="3"/>
  <c r="J14" i="3"/>
  <c r="J15" i="3" s="1"/>
  <c r="B14" i="3"/>
  <c r="L14" i="3"/>
  <c r="I14" i="3"/>
  <c r="D14" i="3"/>
  <c r="D15" i="3" s="1"/>
  <c r="H14" i="3"/>
  <c r="G14" i="3"/>
  <c r="G15" i="3" s="1"/>
  <c r="B20" i="1"/>
  <c r="B25" i="1" s="1"/>
  <c r="E22" i="8"/>
  <c r="C6" i="1" s="1"/>
  <c r="F22" i="8"/>
  <c r="D6" i="1" s="1"/>
  <c r="D26" i="1"/>
  <c r="C3" i="4"/>
  <c r="C26" i="1"/>
  <c r="C22" i="1"/>
  <c r="C5" i="4" s="1"/>
  <c r="C8" i="4" s="1"/>
  <c r="D21" i="1" l="1"/>
  <c r="E3" i="2"/>
  <c r="F3" i="2" s="1"/>
  <c r="E21" i="1" s="1"/>
  <c r="D9" i="1"/>
  <c r="D10" i="1"/>
  <c r="C9" i="1"/>
  <c r="C10" i="1"/>
  <c r="B29" i="1"/>
  <c r="B30" i="1" s="1"/>
  <c r="C10" i="2" s="1"/>
  <c r="C13" i="2" s="1"/>
  <c r="C10" i="3"/>
  <c r="F10" i="3"/>
  <c r="N9" i="3"/>
  <c r="B9" i="5" s="1"/>
  <c r="N8" i="3"/>
  <c r="B8" i="5" s="1"/>
  <c r="C19" i="1"/>
  <c r="C16" i="5" s="1"/>
  <c r="C17" i="5" s="1"/>
  <c r="D21" i="3"/>
  <c r="B17" i="3"/>
  <c r="N17" i="3" s="1"/>
  <c r="B17" i="5" s="1"/>
  <c r="N16" i="3"/>
  <c r="C15" i="3"/>
  <c r="C21" i="3" s="1"/>
  <c r="K15" i="3"/>
  <c r="E15" i="3"/>
  <c r="G21" i="3" s="1"/>
  <c r="I15" i="3"/>
  <c r="F15" i="3"/>
  <c r="F21" i="3" s="1"/>
  <c r="L15" i="3"/>
  <c r="L21" i="3" s="1"/>
  <c r="N14" i="3"/>
  <c r="H15" i="3"/>
  <c r="J21" i="3" s="1"/>
  <c r="B15" i="3"/>
  <c r="D9" i="2"/>
  <c r="D3" i="4"/>
  <c r="G3" i="2" l="1"/>
  <c r="F21" i="1" s="1"/>
  <c r="N10" i="3"/>
  <c r="C12" i="1"/>
  <c r="D12" i="1"/>
  <c r="B10" i="5"/>
  <c r="D6" i="4"/>
  <c r="D8" i="5"/>
  <c r="D19" i="1"/>
  <c r="D16" i="5" s="1"/>
  <c r="D17" i="5" s="1"/>
  <c r="E15" i="1"/>
  <c r="C8" i="5"/>
  <c r="E18" i="3"/>
  <c r="E21" i="3" s="1"/>
  <c r="H18" i="3"/>
  <c r="H21" i="3" s="1"/>
  <c r="I21" i="3"/>
  <c r="K18" i="3"/>
  <c r="K21" i="3" s="1"/>
  <c r="M21" i="3"/>
  <c r="B18" i="3"/>
  <c r="N15" i="3"/>
  <c r="B15" i="5" s="1"/>
  <c r="D22" i="1"/>
  <c r="D20" i="1" l="1"/>
  <c r="D25" i="1" s="1"/>
  <c r="D29" i="1" s="1"/>
  <c r="D24" i="5" s="1"/>
  <c r="D14" i="5"/>
  <c r="D15" i="5" s="1"/>
  <c r="C9" i="5"/>
  <c r="C10" i="5" s="1"/>
  <c r="D9" i="5"/>
  <c r="D10" i="5" s="1"/>
  <c r="C20" i="1"/>
  <c r="C25" i="1" s="1"/>
  <c r="C14" i="5"/>
  <c r="C15" i="5" s="1"/>
  <c r="F15" i="1"/>
  <c r="F19" i="1" s="1"/>
  <c r="E19" i="1"/>
  <c r="N18" i="3"/>
  <c r="B18" i="5" s="1"/>
  <c r="B25" i="5" s="1"/>
  <c r="B26" i="5" s="1"/>
  <c r="B21" i="3"/>
  <c r="D5" i="4"/>
  <c r="D8" i="4" s="1"/>
  <c r="C28" i="1" l="1"/>
  <c r="C23" i="5" s="1"/>
  <c r="C29" i="1"/>
  <c r="C24" i="5" s="1"/>
  <c r="D18" i="5"/>
  <c r="E20" i="1"/>
  <c r="E16" i="5"/>
  <c r="E17" i="5" s="1"/>
  <c r="E18" i="5" s="1"/>
  <c r="F20" i="1"/>
  <c r="F16" i="5"/>
  <c r="F17" i="5" s="1"/>
  <c r="F18" i="5" s="1"/>
  <c r="C18" i="5"/>
  <c r="C5" i="2"/>
  <c r="C7" i="2" s="1"/>
  <c r="C3" i="5"/>
  <c r="B22" i="3"/>
  <c r="C3" i="3" s="1"/>
  <c r="C22" i="3" s="1"/>
  <c r="D3" i="3" s="1"/>
  <c r="D22" i="3" s="1"/>
  <c r="E3" i="3" s="1"/>
  <c r="E22" i="3" s="1"/>
  <c r="F3" i="3" s="1"/>
  <c r="F22" i="3" s="1"/>
  <c r="G3" i="3" s="1"/>
  <c r="G22" i="3" s="1"/>
  <c r="H3" i="3" s="1"/>
  <c r="H22" i="3" s="1"/>
  <c r="I3" i="3" s="1"/>
  <c r="I22" i="3" s="1"/>
  <c r="J3" i="3" s="1"/>
  <c r="J22" i="3" s="1"/>
  <c r="K3" i="3" s="1"/>
  <c r="K22" i="3" s="1"/>
  <c r="L3" i="3" s="1"/>
  <c r="L22" i="3" s="1"/>
  <c r="M3" i="3" s="1"/>
  <c r="M22" i="3" s="1"/>
  <c r="N21" i="3"/>
  <c r="D28" i="1"/>
  <c r="D23" i="5" s="1"/>
  <c r="E3" i="4"/>
  <c r="E9" i="2"/>
  <c r="C30" i="1" l="1"/>
  <c r="D10" i="2" s="1"/>
  <c r="D13" i="2" s="1"/>
  <c r="C25" i="5"/>
  <c r="C26" i="5" s="1"/>
  <c r="D5" i="2" s="1"/>
  <c r="D7" i="2" s="1"/>
  <c r="D25" i="5"/>
  <c r="D30" i="1"/>
  <c r="E22" i="1"/>
  <c r="E7" i="4"/>
  <c r="E22" i="5" s="1"/>
  <c r="E4" i="4"/>
  <c r="E5" i="5" s="1"/>
  <c r="E10" i="5" s="1"/>
  <c r="E10" i="2" l="1"/>
  <c r="E13" i="2" s="1"/>
  <c r="D3" i="5"/>
  <c r="D26" i="5" s="1"/>
  <c r="E3" i="5" s="1"/>
  <c r="E5" i="4"/>
  <c r="E8" i="4" s="1"/>
  <c r="E25" i="1"/>
  <c r="E5" i="2" l="1"/>
  <c r="E7" i="2" s="1"/>
  <c r="E28" i="1"/>
  <c r="E23" i="5" s="1"/>
  <c r="E25" i="5" s="1"/>
  <c r="E26" i="5" s="1"/>
  <c r="F3" i="4"/>
  <c r="F9" i="2"/>
  <c r="E30" i="1" l="1"/>
  <c r="F10" i="2" s="1"/>
  <c r="F13" i="2" s="1"/>
  <c r="F22" i="1"/>
  <c r="F7" i="4"/>
  <c r="F22" i="5" s="1"/>
  <c r="F4" i="4"/>
  <c r="F5" i="5" s="1"/>
  <c r="F10" i="5" s="1"/>
  <c r="F5" i="2"/>
  <c r="F7" i="2" s="1"/>
  <c r="F3" i="5"/>
  <c r="F5" i="4" l="1"/>
  <c r="F8" i="4" s="1"/>
  <c r="G9" i="2" s="1"/>
  <c r="F25" i="1"/>
  <c r="F28" i="1" l="1"/>
  <c r="F23" i="5" s="1"/>
  <c r="F25" i="5" s="1"/>
  <c r="F26" i="5" s="1"/>
  <c r="G5" i="2" s="1"/>
  <c r="G7" i="2" s="1"/>
  <c r="F30" i="1" l="1"/>
  <c r="G10" i="2" s="1"/>
  <c r="G13" i="2" s="1"/>
</calcChain>
</file>

<file path=xl/sharedStrings.xml><?xml version="1.0" encoding="utf-8"?>
<sst xmlns="http://schemas.openxmlformats.org/spreadsheetml/2006/main" count="293" uniqueCount="195">
  <si>
    <t>Share capital liquidity</t>
  </si>
  <si>
    <t>Year 0</t>
  </si>
  <si>
    <t>Year 1</t>
  </si>
  <si>
    <t>Year 2</t>
  </si>
  <si>
    <t>Year 3</t>
  </si>
  <si>
    <t>Year 4</t>
  </si>
  <si>
    <t>Year 5</t>
  </si>
  <si>
    <t>Opening balance</t>
  </si>
  <si>
    <t>Dividends reinvested</t>
  </si>
  <si>
    <t>Closing balance</t>
  </si>
  <si>
    <t>Share interest reinvested</t>
  </si>
  <si>
    <t>Balance sheet</t>
  </si>
  <si>
    <t>Total assets less total liabilities</t>
  </si>
  <si>
    <t>Share capital</t>
  </si>
  <si>
    <t>Reserves (retained profit)</t>
  </si>
  <si>
    <t>Long term liabilities (loans)</t>
  </si>
  <si>
    <t>Total capital &amp; reserves</t>
  </si>
  <si>
    <t>represented by:</t>
  </si>
  <si>
    <t>Sales</t>
  </si>
  <si>
    <t xml:space="preserve">Cost of sales </t>
  </si>
  <si>
    <t>Gross profit</t>
  </si>
  <si>
    <t>Overheads</t>
  </si>
  <si>
    <t>Salaries etc</t>
  </si>
  <si>
    <t>Administration</t>
  </si>
  <si>
    <t>Premises</t>
  </si>
  <si>
    <t>Other overheads</t>
  </si>
  <si>
    <t>Total overheads</t>
  </si>
  <si>
    <t>Operating profit</t>
  </si>
  <si>
    <t>Depreciation</t>
  </si>
  <si>
    <t>Share interest</t>
  </si>
  <si>
    <t>Loan interest</t>
  </si>
  <si>
    <t>Net profit</t>
  </si>
  <si>
    <t>Corporation tax</t>
  </si>
  <si>
    <t>Charitable donations</t>
  </si>
  <si>
    <t>Members' dividends</t>
  </si>
  <si>
    <t>Profit transferred to reserves</t>
  </si>
  <si>
    <t>Net current assets (working capital)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</si>
  <si>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</si>
  <si>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</si>
  <si>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</si>
  <si>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</si>
  <si>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</si>
  <si>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</si>
  <si>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</si>
  <si>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</si>
  <si>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</si>
  <si>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</si>
  <si>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</si>
  <si>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</si>
  <si>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cash in </t>
  </si>
  <si>
    <t>Loans</t>
  </si>
  <si>
    <t>VAT on sales</t>
  </si>
  <si>
    <t>cash out</t>
  </si>
  <si>
    <t>Fixed asset purchases</t>
  </si>
  <si>
    <t>VAT on fixed assets</t>
  </si>
  <si>
    <t>Cost of goods sold</t>
  </si>
  <si>
    <t>VAT on cost of goods sold</t>
  </si>
  <si>
    <t>VAT on overheads</t>
  </si>
  <si>
    <t>VAT due to HMRC</t>
  </si>
  <si>
    <t>Loan interest payment</t>
  </si>
  <si>
    <t>Loan capital repayment</t>
  </si>
  <si>
    <t>Total cash in</t>
  </si>
  <si>
    <t>Total cash out</t>
  </si>
  <si>
    <t>Cash flow (year one)</t>
  </si>
  <si>
    <t>Share interest &amp; dividends paid out</t>
  </si>
  <si>
    <t>Share capital withdrawals</t>
  </si>
  <si>
    <t xml:space="preserve">Corporation tax </t>
  </si>
  <si>
    <t>Notes</t>
  </si>
  <si>
    <t>Total</t>
  </si>
  <si>
    <t>Funding requirements</t>
  </si>
  <si>
    <t>Purchase of fixed assets</t>
  </si>
  <si>
    <t>Funded by:</t>
  </si>
  <si>
    <t>Community shares</t>
  </si>
  <si>
    <t>Minimum target</t>
  </si>
  <si>
    <t>Optimum target</t>
  </si>
  <si>
    <t>Maximum target</t>
  </si>
  <si>
    <t>Working capital (cash flow)</t>
  </si>
  <si>
    <t>Tangible fixed assets</t>
  </si>
  <si>
    <t>Capital grants</t>
  </si>
  <si>
    <t>Start-up revenue costs</t>
  </si>
  <si>
    <t>Donations made</t>
  </si>
  <si>
    <t>Withdrawals suspended until year 4</t>
  </si>
  <si>
    <t>Assumes all share interest and dividends are reinvested in member accounts</t>
  </si>
  <si>
    <t>Open offer launched in year 4 onwards</t>
  </si>
  <si>
    <t>Capital grants &amp; gifts</t>
  </si>
  <si>
    <t>Revenue grants and gifts</t>
  </si>
  <si>
    <t>Revenue grants are treated as income in year received</t>
  </si>
  <si>
    <t xml:space="preserve">Capital grants are depreciated over lifetime of capital asset and are treated as </t>
  </si>
  <si>
    <t>Revenue grants, gifts received</t>
  </si>
  <si>
    <t>Capital grants, gifts received</t>
  </si>
  <si>
    <t>Grants &amp; gifts</t>
  </si>
  <si>
    <t xml:space="preserve">Grants, gifts, </t>
  </si>
  <si>
    <t>Revenue grant</t>
  </si>
  <si>
    <t>Additional worksheets can be created to illustrate financial projections if minimum or maximum targets are achieved</t>
  </si>
  <si>
    <t>Instructions</t>
  </si>
  <si>
    <t>Insert gross profit margin here</t>
  </si>
  <si>
    <t>Enter monthly estimates</t>
  </si>
  <si>
    <t>Automated entry</t>
  </si>
  <si>
    <t>Automated entry - row formula set at 2% interest pa from year 2 onwards</t>
  </si>
  <si>
    <t>Automated entry - row formula set at 1% dividend pa on 50% of total sales  from year 3 onwards</t>
  </si>
  <si>
    <t>Automated entry - row formula set at 8% interest pa</t>
  </si>
  <si>
    <t>Automated entry - row formula set at 10% of net profit from year 2 onwards</t>
  </si>
  <si>
    <t>Insert estimated spend on fixed assets including goodwill</t>
  </si>
  <si>
    <t>Insert estimated spend on start-up revenue costs</t>
  </si>
  <si>
    <t>Insert target</t>
  </si>
  <si>
    <t>Automated entry - row formula assumes open offer from year 4 attracts 3% new share capital</t>
  </si>
  <si>
    <t>Automated entry - row formula assumes withdrawals allowed year 4 at 5% rate</t>
  </si>
  <si>
    <t>Enter January opening balance only (remainder of row are automated entries)</t>
  </si>
  <si>
    <t>Enter ALL monthly estimates</t>
  </si>
  <si>
    <t>Automated entry - taken from balance sheet</t>
  </si>
  <si>
    <t>Automated entry -taken from balance sheet</t>
  </si>
  <si>
    <t>Automated entry - taken from Start-up funding (grant not subject to corporation tax)</t>
  </si>
  <si>
    <t xml:space="preserve">Automated entry - taken from start-up funding </t>
  </si>
  <si>
    <t>Enter year 1 data only - row formula set at 5% pa increase</t>
  </si>
  <si>
    <t>Enter year 1 data only - row formula set at 2% pa increase</t>
  </si>
  <si>
    <t>Automated entry - row formula assume 10% depreciation from year one onwards</t>
  </si>
  <si>
    <t>Automated entry taken from Start-up funding</t>
  </si>
  <si>
    <t>Automated entry - taken from revenue account</t>
  </si>
  <si>
    <t>Automated entry - taken from start-up funding</t>
  </si>
  <si>
    <t>Please Note: The totals in rows 7 and 14 should be the same, if not, adjust above estimates</t>
  </si>
  <si>
    <t>Automated entry- taken fromShare capital liquidty</t>
  </si>
  <si>
    <t>Automated entry - taken from Cash flow (year one)</t>
  </si>
  <si>
    <t>Automated entry - taken from Cash flow (year one) and Revenue account</t>
  </si>
  <si>
    <t>Automated entry - row formula assumes 20% VAT all fixed assets</t>
  </si>
  <si>
    <t>Automated entry - 20% VAT on all cost of goods sold</t>
  </si>
  <si>
    <t>Automated entry taken from revenue account</t>
  </si>
  <si>
    <t>Automated entry - row formula assumes effective 3% VAT rate on total overheads</t>
  </si>
  <si>
    <t>Enter data from revenue account - rows 15 &amp; 16 - if  distributed as cash</t>
  </si>
  <si>
    <t>Enter loan repayments as scheduled</t>
  </si>
  <si>
    <t>Automated data - partly taken from Cash flow (year one)</t>
  </si>
  <si>
    <t>Automated entry - taken from share capital liquidity</t>
  </si>
  <si>
    <t>Insert sales forecast  for years 1 to 5 here</t>
  </si>
  <si>
    <t>Introduction</t>
  </si>
  <si>
    <t>This template has been designed as an aid for societies planning a time-bound community shares offer. It relies on the user obtaining and entering financial data on the following worksheets:</t>
  </si>
  <si>
    <t>Cash flow year one (analysed monthly)</t>
  </si>
  <si>
    <t>Cash flow years 1 to 5 (annual summary)</t>
  </si>
  <si>
    <t>The Balance Sheet and Share capital liquidity worksheets will be automatically generated by data entered onto other worksheets</t>
  </si>
  <si>
    <t>Red font indicates a row where data entry is required</t>
  </si>
  <si>
    <t xml:space="preserve">Insert estimate based on year one cash flow forecast, only after data has been fully entered into that worksheet  </t>
  </si>
  <si>
    <t>Please Note: Only the Optimum target column is active in this worksheet</t>
  </si>
  <si>
    <t>Manually insert  corporation tax estimate (based on 20% of cumulative net profit?) after all other rows have been completed</t>
  </si>
  <si>
    <t xml:space="preserve">Complete the worksheets in the above order. </t>
  </si>
  <si>
    <t>Capital funding</t>
  </si>
  <si>
    <t>Capital funding (minimum, optimum, maximum targets)</t>
  </si>
  <si>
    <t>Financial forecasts</t>
  </si>
  <si>
    <t>All financial forecast worksheets are based on optimum funding target data</t>
  </si>
  <si>
    <t>Profit &amp; loss</t>
  </si>
  <si>
    <t>Profit &amp; loss (five years)</t>
  </si>
  <si>
    <t>Assumptions</t>
  </si>
  <si>
    <t>Mar 20 - Feb 21</t>
  </si>
  <si>
    <t>Mar 21 - Feb 22</t>
  </si>
  <si>
    <t>Mar 22 - Feb 23</t>
  </si>
  <si>
    <t>Grants</t>
  </si>
  <si>
    <t>Direct Grants</t>
  </si>
  <si>
    <t>Merton Neighbourhood Fund</t>
  </si>
  <si>
    <t>National Lottery / City Bridge</t>
  </si>
  <si>
    <t>Heat Pumps</t>
  </si>
  <si>
    <t>Own projects</t>
  </si>
  <si>
    <t>Devas</t>
  </si>
  <si>
    <t>Polka</t>
  </si>
  <si>
    <t>New Projects</t>
  </si>
  <si>
    <t>10% PM fees per project</t>
  </si>
  <si>
    <t>Share Income</t>
  </si>
  <si>
    <t>3% return annually on share offers</t>
  </si>
  <si>
    <t>Energy Assessments</t>
  </si>
  <si>
    <t>Domestic</t>
  </si>
  <si>
    <t>Domestic: £200  average fee</t>
  </si>
  <si>
    <t>Commercial</t>
  </si>
  <si>
    <t>Commercial: £500 avearge fee</t>
  </si>
  <si>
    <t>NextGen</t>
  </si>
  <si>
    <t>Direct grants: grants paid directly to CREW Energy</t>
  </si>
  <si>
    <t>3rd Party Grants</t>
  </si>
  <si>
    <t>3rd party grants: grants we win for a third party e.g. community energy project site</t>
  </si>
  <si>
    <t>Assume 15% income to CREW Energy on third party grants</t>
  </si>
  <si>
    <t>Wandsworth Local Fund</t>
  </si>
  <si>
    <t>Wandsworth Grant Fund</t>
  </si>
  <si>
    <t>Islington Community Energy Fund</t>
  </si>
  <si>
    <t>London Community Energy Fund</t>
  </si>
  <si>
    <t>Total Sales</t>
  </si>
  <si>
    <t xml:space="preserve">   Long term project income</t>
  </si>
  <si>
    <t>Mar 23 - Feb 24</t>
  </si>
  <si>
    <t>Long Term Projects</t>
  </si>
  <si>
    <t>DRCA</t>
  </si>
  <si>
    <t xml:space="preserve">   Energy Assessments</t>
  </si>
  <si>
    <t>Cash flow (years 1-3)</t>
  </si>
  <si>
    <t xml:space="preserve">   Third Party Grant Income</t>
  </si>
  <si>
    <t xml:space="preserve">   Direct Grant Income</t>
  </si>
  <si>
    <t xml:space="preserve">  Loan capital repayment</t>
  </si>
  <si>
    <t>Outstanding payments from DRCA</t>
  </si>
  <si>
    <t>Outstanding loan to PureLeapfrog</t>
  </si>
  <si>
    <t>DRCA payment rate</t>
  </si>
  <si>
    <t>Loan repayment rate</t>
  </si>
  <si>
    <t>Current asset (Energy Services Agreement)</t>
  </si>
  <si>
    <t>New share capital issued</t>
  </si>
  <si>
    <t xml:space="preserve">   Heat Pump Projects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</si>
</sst>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$£]#,##0.00"/>
    <numFmt numFmtId="166" formatCode="_-[$£-809]* #,##0.00_-;\-[$£-809]* #,##0.00_-;_-[$£-809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4" fontId="1" fillId="0" borderId="0" xfId="1" applyNumberFormat="1"/>
    <xf numFmtId="164" fontId="5" fillId="0" borderId="0" xfId="1" applyNumberFormat="1" applyFont="1"/>
    <xf numFmtId="164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1" fillId="0" borderId="0" xfId="1" applyNumberFormat="1" applyAlignment="1">
      <alignment horizontal="left"/>
    </xf>
    <xf numFmtId="164" fontId="2" fillId="0" borderId="0" xfId="1" applyNumberFormat="1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wrapText="1"/>
    </xf>
    <xf numFmtId="0" fontId="0" fillId="0" borderId="0" xfId="0" applyAlignment="1">
      <alignment horizontal="left"/>
    </xf>
    <xf numFmtId="164" fontId="7" fillId="0" borderId="0" xfId="1" applyNumberFormat="1" applyFont="1"/>
    <xf numFmtId="164" fontId="9" fillId="0" borderId="0" xfId="1" applyNumberFormat="1" applyFont="1"/>
    <xf numFmtId="0" fontId="7" fillId="0" borderId="0" xfId="0" applyFont="1"/>
    <xf numFmtId="0" fontId="10" fillId="0" borderId="0" xfId="0" applyFont="1"/>
    <xf numFmtId="164" fontId="10" fillId="0" borderId="0" xfId="1" applyNumberFormat="1" applyFont="1"/>
    <xf numFmtId="0" fontId="2" fillId="0" borderId="0" xfId="0" applyFont="1" applyAlignment="1">
      <alignment wrapText="1"/>
    </xf>
    <xf numFmtId="0" fontId="11" fillId="0" borderId="0" xfId="0" applyFont="1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164" fontId="0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9" fontId="0" fillId="0" borderId="0" xfId="2" applyFont="1" applyFill="1"/>
    <xf numFmtId="43" fontId="0" fillId="0" borderId="0" xfId="1" applyFont="1"/>
    <xf numFmtId="165" fontId="2" fillId="0" borderId="0" xfId="0" applyNumberFormat="1" applyFont="1" applyAlignment="1">
      <alignment horizontal="left"/>
    </xf>
    <xf numFmtId="0" fontId="12" fillId="0" borderId="0" xfId="0" applyFont="1"/>
    <xf numFmtId="0" fontId="0" fillId="0" borderId="0" xfId="0" applyFont="1"/>
    <xf numFmtId="165" fontId="12" fillId="0" borderId="0" xfId="0" applyNumberFormat="1" applyFont="1" applyAlignment="1">
      <alignment horizontal="left"/>
    </xf>
    <xf numFmtId="0" fontId="12" fillId="0" borderId="1" xfId="0" applyFont="1" applyBorder="1"/>
    <xf numFmtId="0" fontId="0" fillId="0" borderId="1" xfId="0" applyFont="1" applyBorder="1"/>
    <xf numFmtId="165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left"/>
    </xf>
    <xf numFmtId="166" fontId="9" fillId="0" borderId="1" xfId="0" applyNumberFormat="1" applyFont="1" applyFill="1" applyBorder="1" applyAlignment="1">
      <alignment horizontal="left"/>
    </xf>
    <xf numFmtId="166" fontId="2" fillId="0" borderId="3" xfId="0" applyNumberFormat="1" applyFont="1" applyBorder="1" applyAlignment="1">
      <alignment horizontal="left"/>
    </xf>
    <xf numFmtId="166" fontId="2" fillId="0" borderId="3" xfId="0" applyNumberFormat="1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  <xf numFmtId="166" fontId="0" fillId="0" borderId="2" xfId="0" applyNumberFormat="1" applyFont="1" applyBorder="1" applyAlignment="1">
      <alignment horizontal="left"/>
    </xf>
    <xf numFmtId="166" fontId="0" fillId="0" borderId="2" xfId="0" applyNumberFormat="1" applyFont="1" applyFill="1" applyBorder="1" applyAlignment="1">
      <alignment horizontal="left"/>
    </xf>
    <xf numFmtId="166" fontId="0" fillId="0" borderId="4" xfId="0" applyNumberFormat="1" applyFont="1" applyBorder="1" applyAlignment="1">
      <alignment horizontal="left"/>
    </xf>
    <xf numFmtId="166" fontId="9" fillId="0" borderId="2" xfId="0" applyNumberFormat="1" applyFont="1" applyBorder="1" applyAlignment="1">
      <alignment horizontal="left"/>
    </xf>
    <xf numFmtId="0" fontId="9" fillId="0" borderId="6" xfId="0" applyFont="1" applyBorder="1"/>
    <xf numFmtId="166" fontId="0" fillId="0" borderId="5" xfId="0" applyNumberFormat="1" applyFont="1" applyBorder="1"/>
    <xf numFmtId="166" fontId="9" fillId="0" borderId="7" xfId="0" applyNumberFormat="1" applyFont="1" applyBorder="1" applyAlignment="1">
      <alignment horizontal="left"/>
    </xf>
    <xf numFmtId="166" fontId="9" fillId="0" borderId="4" xfId="0" applyNumberFormat="1" applyFont="1" applyBorder="1" applyAlignment="1">
      <alignment horizontal="left"/>
    </xf>
    <xf numFmtId="0" fontId="0" fillId="0" borderId="0" xfId="0" applyFont="1" applyFill="1"/>
    <xf numFmtId="166" fontId="12" fillId="0" borderId="3" xfId="0" applyNumberFormat="1" applyFont="1" applyBorder="1" applyAlignment="1">
      <alignment horizontal="left"/>
    </xf>
    <xf numFmtId="0" fontId="9" fillId="0" borderId="0" xfId="0" applyFont="1"/>
    <xf numFmtId="0" fontId="0" fillId="0" borderId="2" xfId="0" applyFont="1" applyBorder="1"/>
    <xf numFmtId="0" fontId="9" fillId="0" borderId="2" xfId="0" applyFont="1" applyBorder="1"/>
    <xf numFmtId="0" fontId="12" fillId="0" borderId="5" xfId="0" applyFont="1" applyBorder="1"/>
    <xf numFmtId="0" fontId="0" fillId="0" borderId="5" xfId="0" applyFont="1" applyBorder="1"/>
    <xf numFmtId="166" fontId="12" fillId="0" borderId="8" xfId="0" applyNumberFormat="1" applyFont="1" applyBorder="1" applyAlignment="1">
      <alignment horizontal="left"/>
    </xf>
    <xf numFmtId="0" fontId="0" fillId="0" borderId="9" xfId="0" applyFont="1" applyBorder="1"/>
    <xf numFmtId="0" fontId="2" fillId="0" borderId="5" xfId="0" applyFont="1" applyBorder="1"/>
    <xf numFmtId="166" fontId="2" fillId="0" borderId="8" xfId="0" applyNumberFormat="1" applyFont="1" applyBorder="1"/>
    <xf numFmtId="1" fontId="0" fillId="0" borderId="0" xfId="0" applyNumberFormat="1"/>
    <xf numFmtId="164" fontId="2" fillId="0" borderId="0" xfId="1" applyNumberFormat="1" applyFont="1" applyFill="1"/>
    <xf numFmtId="164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1"/>
  <sheetViews>
    <sheetView workbookViewId="0">
      <selection activeCell="B12" sqref="B12"/>
    </sheetView>
  </sheetViews>
  <sheetFormatPr defaultRowHeight="15" x14ac:dyDescent="0.25"/>
  <cols>
    <col min="1" max="1" width="62" customWidth="1"/>
  </cols>
  <sheetData>
    <row r="1" spans="1:1" ht="21" x14ac:dyDescent="0.35">
      <c r="A1" s="32" t="s">
        <v>144</v>
      </c>
    </row>
    <row r="3" spans="1:1" ht="15.75" x14ac:dyDescent="0.25">
      <c r="A3" s="18" t="s">
        <v>132</v>
      </c>
    </row>
    <row r="4" spans="1:1" ht="45" x14ac:dyDescent="0.25">
      <c r="A4" s="19" t="s">
        <v>133</v>
      </c>
    </row>
    <row r="5" spans="1:1" x14ac:dyDescent="0.25">
      <c r="A5" t="s">
        <v>147</v>
      </c>
    </row>
    <row r="6" spans="1:1" x14ac:dyDescent="0.25">
      <c r="A6" t="s">
        <v>143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ht="30" x14ac:dyDescent="0.25">
      <c r="A9" s="19" t="s">
        <v>136</v>
      </c>
    </row>
    <row r="10" spans="1:1" x14ac:dyDescent="0.25">
      <c r="A10" s="28" t="s">
        <v>137</v>
      </c>
    </row>
    <row r="11" spans="1:1" x14ac:dyDescent="0.25">
      <c r="A11" t="s">
        <v>141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0"/>
  <sheetViews>
    <sheetView tabSelected="1" workbookViewId="0">
      <selection activeCell="Q14" sqref="Q14"/>
    </sheetView>
  </sheetViews>
  <sheetFormatPr defaultColWidth="8.85546875" defaultRowHeight="15" x14ac:dyDescent="0.25"/>
  <cols>
    <col min="1" max="1" width="29.85546875" style="10" bestFit="1" customWidth="1"/>
    <col min="2" max="2" width="11" style="10" customWidth="1"/>
    <col min="3" max="3" width="10.140625" style="10" customWidth="1"/>
    <col min="4" max="4" width="10.5703125" style="10" customWidth="1"/>
    <col min="5" max="6" width="8.85546875" style="10" hidden="1" customWidth="1"/>
    <col min="7" max="7" width="89.28515625" style="14" hidden="1" customWidth="1"/>
    <col min="8" max="8" width="8.85546875" style="10" customWidth="1"/>
    <col min="9" max="15" width="8.85546875" style="10"/>
    <col min="16" max="18" width="8.85546875" style="12"/>
    <col min="19" max="16384" width="8.85546875" style="10"/>
  </cols>
  <sheetData>
    <row r="1" spans="1:18" ht="18.75" x14ac:dyDescent="0.3">
      <c r="A1" s="9" t="s">
        <v>146</v>
      </c>
    </row>
    <row r="2" spans="1:18" x14ac:dyDescent="0.2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22" t="s">
        <v>94</v>
      </c>
      <c r="P2"/>
      <c r="Q2"/>
      <c r="R2"/>
    </row>
    <row r="3" spans="1:18" x14ac:dyDescent="0.25">
      <c r="A3" s="10" t="s">
        <v>18</v>
      </c>
      <c r="G3" s="22"/>
      <c r="P3"/>
      <c r="Q3"/>
      <c r="R3"/>
    </row>
    <row r="4" spans="1:18" x14ac:dyDescent="0.25">
      <c r="A4" s="10" t="s">
        <v>186</v>
      </c>
      <c r="B4" s="10">
        <f>'Projected Income'!D9</f>
        <v>56100</v>
      </c>
      <c r="C4" s="10">
        <f>'Projected Income'!E9</f>
        <v>50000</v>
      </c>
      <c r="D4" s="10">
        <f>'Projected Income'!F9</f>
        <v>50000</v>
      </c>
      <c r="G4" s="22"/>
      <c r="P4"/>
      <c r="Q4"/>
      <c r="R4"/>
    </row>
    <row r="5" spans="1:18" x14ac:dyDescent="0.25">
      <c r="A5" s="10" t="s">
        <v>185</v>
      </c>
      <c r="B5" s="10">
        <f>'Projected Income'!D15</f>
        <v>43500</v>
      </c>
      <c r="C5" s="10">
        <f>'Projected Income'!E15</f>
        <v>51750</v>
      </c>
      <c r="D5" s="10">
        <f>'Projected Income'!F15</f>
        <v>64500</v>
      </c>
      <c r="G5" s="22"/>
      <c r="P5"/>
      <c r="Q5"/>
      <c r="R5"/>
    </row>
    <row r="6" spans="1:18" x14ac:dyDescent="0.25">
      <c r="A6" s="10" t="s">
        <v>194</v>
      </c>
      <c r="B6" s="10">
        <f>'Projected Income'!D22</f>
        <v>10000</v>
      </c>
      <c r="C6" s="10">
        <f>'Projected Income'!E22</f>
        <v>23000</v>
      </c>
      <c r="D6" s="10">
        <f>'Projected Income'!F22</f>
        <v>49000</v>
      </c>
      <c r="G6" s="22"/>
      <c r="P6"/>
      <c r="Q6"/>
      <c r="R6"/>
    </row>
    <row r="7" spans="1:18" x14ac:dyDescent="0.25">
      <c r="A7" s="10" t="s">
        <v>183</v>
      </c>
      <c r="B7" s="10">
        <f>'Projected Income'!D27</f>
        <v>5000</v>
      </c>
      <c r="C7" s="10">
        <f>'Projected Income'!E27</f>
        <v>17000</v>
      </c>
      <c r="D7" s="10">
        <f>'Projected Income'!F27</f>
        <v>17000</v>
      </c>
      <c r="G7" s="22"/>
      <c r="P7"/>
      <c r="Q7"/>
      <c r="R7"/>
    </row>
    <row r="8" spans="1:18" x14ac:dyDescent="0.25">
      <c r="A8" s="10" t="s">
        <v>179</v>
      </c>
      <c r="B8" s="10">
        <f>'Projected Income'!D31</f>
        <v>4200</v>
      </c>
      <c r="C8" s="10">
        <f>'Projected Income'!E31</f>
        <v>4200</v>
      </c>
      <c r="D8" s="10">
        <f>'Projected Income'!F31</f>
        <v>4200</v>
      </c>
      <c r="G8" s="22"/>
      <c r="P8"/>
      <c r="Q8"/>
      <c r="R8"/>
    </row>
    <row r="9" spans="1:18" x14ac:dyDescent="0.25">
      <c r="A9" s="11" t="s">
        <v>178</v>
      </c>
      <c r="B9" s="22">
        <f>SUM(B4:B8)</f>
        <v>118800</v>
      </c>
      <c r="C9" s="22">
        <f>SUM(C4:C8)</f>
        <v>145950</v>
      </c>
      <c r="D9" s="22">
        <f>SUM(D4:D8)</f>
        <v>184700</v>
      </c>
      <c r="E9" s="10">
        <v>0</v>
      </c>
      <c r="F9" s="10">
        <v>0</v>
      </c>
      <c r="G9" s="26" t="s">
        <v>131</v>
      </c>
      <c r="P9"/>
      <c r="Q9"/>
      <c r="R9"/>
    </row>
    <row r="10" spans="1:18" x14ac:dyDescent="0.25">
      <c r="A10" s="12" t="s">
        <v>19</v>
      </c>
      <c r="B10" s="39">
        <f>(B6+B7)*(1-$H$10)</f>
        <v>12750</v>
      </c>
      <c r="C10" s="39">
        <f>(C6+C7)*(1-$H$10)</f>
        <v>34000</v>
      </c>
      <c r="D10" s="39">
        <f>(D6+D7)*(1-$H$10)</f>
        <v>56100</v>
      </c>
      <c r="E10" s="39">
        <f>E9*(1-H10)</f>
        <v>0</v>
      </c>
      <c r="F10" s="39">
        <f>F9*(1-H10)</f>
        <v>0</v>
      </c>
      <c r="G10" s="40" t="s">
        <v>95</v>
      </c>
      <c r="H10" s="41">
        <v>0.15</v>
      </c>
      <c r="I10" s="39"/>
      <c r="J10" s="39"/>
      <c r="K10" s="39"/>
      <c r="L10" s="39"/>
      <c r="M10" s="39"/>
      <c r="P10"/>
      <c r="Q10"/>
      <c r="R10"/>
    </row>
    <row r="11" spans="1:18" x14ac:dyDescent="0.25">
      <c r="A11" t="s">
        <v>187</v>
      </c>
      <c r="B11" s="39">
        <f>182.72*12</f>
        <v>2192.64</v>
      </c>
      <c r="C11" s="39">
        <f>B11</f>
        <v>2192.64</v>
      </c>
      <c r="D11" s="39">
        <f>B11</f>
        <v>2192.64</v>
      </c>
      <c r="E11" s="39"/>
      <c r="F11" s="39"/>
      <c r="G11" s="40"/>
      <c r="H11" s="41"/>
      <c r="I11" s="39"/>
      <c r="J11" s="39"/>
      <c r="K11" s="39"/>
      <c r="L11" s="39"/>
      <c r="M11" s="39"/>
      <c r="P11" s="76"/>
      <c r="Q11" s="76"/>
      <c r="R11" s="76"/>
    </row>
    <row r="12" spans="1:18" x14ac:dyDescent="0.25">
      <c r="A12" s="11" t="s">
        <v>20</v>
      </c>
      <c r="B12" s="22">
        <f>B9-B10-B11</f>
        <v>103857.36</v>
      </c>
      <c r="C12" s="22">
        <f t="shared" ref="C12:D12" si="0">C9-C10-C11</f>
        <v>109757.36</v>
      </c>
      <c r="D12" s="22">
        <f t="shared" si="0"/>
        <v>126407.36</v>
      </c>
      <c r="E12" s="10">
        <f>E9-E10</f>
        <v>0</v>
      </c>
      <c r="F12" s="10">
        <f>F9-F10</f>
        <v>0</v>
      </c>
      <c r="G12" s="14" t="s">
        <v>97</v>
      </c>
      <c r="P12" s="76"/>
      <c r="Q12" s="76"/>
      <c r="R12" s="76"/>
    </row>
    <row r="13" spans="1:18" s="14" customFormat="1" x14ac:dyDescent="0.25">
      <c r="A13" s="13" t="s">
        <v>21</v>
      </c>
      <c r="G13" s="15"/>
      <c r="P13"/>
      <c r="Q13"/>
      <c r="R13"/>
    </row>
    <row r="14" spans="1:18" s="14" customFormat="1" x14ac:dyDescent="0.25">
      <c r="A14" s="12" t="s">
        <v>79</v>
      </c>
      <c r="B14" s="15">
        <f>'Capital funding'!C5</f>
        <v>2000</v>
      </c>
      <c r="C14" s="16">
        <v>0</v>
      </c>
      <c r="D14" s="16">
        <v>0</v>
      </c>
      <c r="E14" s="16">
        <v>0</v>
      </c>
      <c r="F14" s="16">
        <v>0</v>
      </c>
      <c r="G14" s="14" t="s">
        <v>112</v>
      </c>
      <c r="P14"/>
      <c r="Q14"/>
      <c r="R14"/>
    </row>
    <row r="15" spans="1:18" x14ac:dyDescent="0.25">
      <c r="A15" s="12" t="s">
        <v>22</v>
      </c>
      <c r="B15" s="10">
        <f>SUM(B4:B5)*0.7</f>
        <v>69720</v>
      </c>
      <c r="C15" s="10">
        <f t="shared" ref="C15:D15" si="1">SUM(C4:C5)*0.7</f>
        <v>71225</v>
      </c>
      <c r="D15" s="10">
        <f t="shared" si="1"/>
        <v>80150</v>
      </c>
      <c r="E15" s="10">
        <f>D15*1.05</f>
        <v>84157.5</v>
      </c>
      <c r="F15" s="10">
        <f>E15*1.05</f>
        <v>88365.375</v>
      </c>
      <c r="G15" s="26" t="s">
        <v>113</v>
      </c>
      <c r="P15"/>
      <c r="Q15"/>
      <c r="R15"/>
    </row>
    <row r="16" spans="1:18" x14ac:dyDescent="0.25">
      <c r="A16" s="12" t="s">
        <v>23</v>
      </c>
      <c r="B16" s="39">
        <v>5264</v>
      </c>
      <c r="C16" s="39">
        <f t="shared" ref="C16:F17" si="2">B16*1.02</f>
        <v>5369.28</v>
      </c>
      <c r="D16" s="39">
        <f t="shared" si="2"/>
        <v>5476.6656000000003</v>
      </c>
      <c r="E16" s="10">
        <f t="shared" si="2"/>
        <v>5586.1989120000007</v>
      </c>
      <c r="F16" s="10">
        <f t="shared" si="2"/>
        <v>5697.9228902400009</v>
      </c>
      <c r="G16" s="26" t="s">
        <v>114</v>
      </c>
      <c r="P16"/>
      <c r="Q16" s="76"/>
      <c r="R16" s="76"/>
    </row>
    <row r="17" spans="1:18" x14ac:dyDescent="0.25">
      <c r="A17" s="12" t="s">
        <v>24</v>
      </c>
      <c r="B17" s="39">
        <v>10440</v>
      </c>
      <c r="C17" s="39">
        <f t="shared" si="2"/>
        <v>10648.800000000001</v>
      </c>
      <c r="D17" s="39">
        <f t="shared" si="2"/>
        <v>10861.776000000002</v>
      </c>
      <c r="E17" s="10">
        <f t="shared" si="2"/>
        <v>11079.011520000002</v>
      </c>
      <c r="F17" s="10">
        <f t="shared" si="2"/>
        <v>11300.591750400003</v>
      </c>
      <c r="G17" s="26" t="s">
        <v>114</v>
      </c>
      <c r="P17"/>
      <c r="Q17" s="76"/>
      <c r="R17" s="76"/>
    </row>
    <row r="18" spans="1:18" x14ac:dyDescent="0.25">
      <c r="A18" s="12" t="s">
        <v>25</v>
      </c>
      <c r="B18" s="39">
        <v>180</v>
      </c>
      <c r="C18" s="39">
        <f>B18*1.05</f>
        <v>189</v>
      </c>
      <c r="D18" s="39">
        <f>C18*1.05</f>
        <v>198.45000000000002</v>
      </c>
      <c r="E18" s="10">
        <f>D18*1.05</f>
        <v>208.37250000000003</v>
      </c>
      <c r="F18" s="10">
        <f>E18*1.05</f>
        <v>218.79112500000005</v>
      </c>
      <c r="G18" s="26" t="s">
        <v>113</v>
      </c>
      <c r="P18"/>
      <c r="Q18"/>
      <c r="R18"/>
    </row>
    <row r="19" spans="1:18" x14ac:dyDescent="0.25">
      <c r="A19" s="11" t="s">
        <v>26</v>
      </c>
      <c r="B19" s="22">
        <f>SUM(B14:B18)</f>
        <v>87604</v>
      </c>
      <c r="C19" s="22">
        <f t="shared" ref="C19:F19" si="3">SUM(C14:C18)</f>
        <v>87432.08</v>
      </c>
      <c r="D19" s="22">
        <f t="shared" si="3"/>
        <v>96686.891600000003</v>
      </c>
      <c r="E19" s="10">
        <f t="shared" si="3"/>
        <v>101031.082932</v>
      </c>
      <c r="F19" s="10">
        <f t="shared" si="3"/>
        <v>105582.68076564001</v>
      </c>
      <c r="G19" s="14" t="s">
        <v>97</v>
      </c>
      <c r="P19"/>
      <c r="Q19" s="76"/>
      <c r="R19" s="76"/>
    </row>
    <row r="20" spans="1:18" x14ac:dyDescent="0.25">
      <c r="A20" s="11" t="s">
        <v>27</v>
      </c>
      <c r="B20" s="22">
        <f>B12-B19</f>
        <v>16253.36</v>
      </c>
      <c r="C20" s="22">
        <f t="shared" ref="C20:F20" si="4">C12-C19</f>
        <v>22325.279999999999</v>
      </c>
      <c r="D20" s="22">
        <f t="shared" si="4"/>
        <v>29720.468399999998</v>
      </c>
      <c r="E20" s="10">
        <f t="shared" si="4"/>
        <v>-101031.082932</v>
      </c>
      <c r="F20" s="10">
        <f t="shared" si="4"/>
        <v>-105582.68076564001</v>
      </c>
      <c r="G20" s="14" t="s">
        <v>97</v>
      </c>
      <c r="P20" s="76"/>
      <c r="Q20" s="76"/>
      <c r="R20" s="76"/>
    </row>
    <row r="21" spans="1:18" x14ac:dyDescent="0.25">
      <c r="A21" s="12" t="s">
        <v>28</v>
      </c>
      <c r="B21" s="10">
        <f>'Balance sheet'!B3*0.1</f>
        <v>4326.82</v>
      </c>
      <c r="C21" s="10">
        <f>'Balance sheet'!C3*0.1</f>
        <v>3894.1379999999999</v>
      </c>
      <c r="D21" s="10">
        <f>'Balance sheet'!D3*0.1</f>
        <v>20504.724200000001</v>
      </c>
      <c r="E21" s="10">
        <f>'Balance sheet'!E3-'Balance sheet'!F3</f>
        <v>52454.251779999991</v>
      </c>
      <c r="F21" s="10">
        <f>'Balance sheet'!F3-'Balance sheet'!G3</f>
        <v>47208.826601999986</v>
      </c>
      <c r="G21" s="14" t="s">
        <v>109</v>
      </c>
      <c r="P21" s="76"/>
      <c r="Q21" s="76"/>
      <c r="R21" s="76"/>
    </row>
    <row r="22" spans="1:18" x14ac:dyDescent="0.25">
      <c r="A22" s="12" t="s">
        <v>29</v>
      </c>
      <c r="B22" s="10">
        <v>0</v>
      </c>
      <c r="C22" s="10">
        <f>0.02*'Balance sheet'!C9</f>
        <v>1000</v>
      </c>
      <c r="D22" s="10">
        <f>0.02*'Balance sheet'!D9</f>
        <v>5020</v>
      </c>
      <c r="E22" s="10">
        <f>0.02*'Balance sheet'!E9</f>
        <v>13120.4</v>
      </c>
      <c r="F22" s="10">
        <f>0.02*'Balance sheet'!F9</f>
        <v>13120.4</v>
      </c>
      <c r="G22" s="14" t="s">
        <v>98</v>
      </c>
      <c r="P22"/>
      <c r="Q22"/>
      <c r="R22"/>
    </row>
    <row r="23" spans="1:18" x14ac:dyDescent="0.25">
      <c r="A23" s="12" t="s">
        <v>34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4" t="s">
        <v>99</v>
      </c>
      <c r="P23"/>
      <c r="Q23"/>
      <c r="R23"/>
    </row>
    <row r="24" spans="1:18" x14ac:dyDescent="0.25">
      <c r="A24" s="12" t="s">
        <v>30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4" t="s">
        <v>100</v>
      </c>
      <c r="P24" s="76"/>
      <c r="Q24" s="76"/>
      <c r="R24" s="76"/>
    </row>
    <row r="25" spans="1:18" x14ac:dyDescent="0.25">
      <c r="A25" s="11" t="s">
        <v>31</v>
      </c>
      <c r="B25" s="22">
        <f>B20-B21-B22-B23-B24</f>
        <v>11926.54</v>
      </c>
      <c r="C25" s="22">
        <f t="shared" ref="C25:F25" si="5">C20-C21-C22-C23-C24</f>
        <v>17431.142</v>
      </c>
      <c r="D25" s="22">
        <f t="shared" si="5"/>
        <v>4195.7441999999974</v>
      </c>
      <c r="E25" s="10">
        <f t="shared" si="5"/>
        <v>-166605.73471199998</v>
      </c>
      <c r="F25" s="10">
        <f t="shared" si="5"/>
        <v>-165911.90736763997</v>
      </c>
      <c r="G25" s="14" t="s">
        <v>97</v>
      </c>
      <c r="P25" s="76"/>
      <c r="Q25" s="76"/>
      <c r="R25" s="76"/>
    </row>
    <row r="26" spans="1:18" s="15" customFormat="1" x14ac:dyDescent="0.25">
      <c r="A26" s="21" t="s">
        <v>89</v>
      </c>
      <c r="B26" s="15">
        <f>'Balance sheet'!B12-'Balance sheet'!C12</f>
        <v>0</v>
      </c>
      <c r="C26" s="15">
        <f>'Balance sheet'!C12-'Balance sheet'!D12</f>
        <v>0</v>
      </c>
      <c r="D26" s="15">
        <f>'Balance sheet'!D12-'Balance sheet'!E12</f>
        <v>0</v>
      </c>
      <c r="E26" s="15">
        <f>'Balance sheet'!E12-'Balance sheet'!F12</f>
        <v>0</v>
      </c>
      <c r="F26" s="15">
        <f>'Balance sheet'!F12-'Balance sheet'!G12</f>
        <v>0</v>
      </c>
      <c r="G26" s="14" t="s">
        <v>110</v>
      </c>
      <c r="P26"/>
      <c r="Q26"/>
      <c r="R26"/>
    </row>
    <row r="27" spans="1:18" x14ac:dyDescent="0.25">
      <c r="A27" s="12" t="s">
        <v>88</v>
      </c>
      <c r="B27" s="10">
        <f>'Capital funding'!C12</f>
        <v>2000</v>
      </c>
      <c r="C27" s="10">
        <v>0</v>
      </c>
      <c r="D27" s="10">
        <v>0</v>
      </c>
      <c r="E27" s="10">
        <v>0</v>
      </c>
      <c r="F27" s="10">
        <v>0</v>
      </c>
      <c r="G27" s="14" t="s">
        <v>111</v>
      </c>
      <c r="P27"/>
      <c r="Q27"/>
      <c r="R27"/>
    </row>
    <row r="28" spans="1:18" x14ac:dyDescent="0.25">
      <c r="A28" s="12" t="s">
        <v>80</v>
      </c>
      <c r="B28" s="10">
        <v>0</v>
      </c>
      <c r="C28" s="10">
        <f>C25*0.1</f>
        <v>1743.1142</v>
      </c>
      <c r="D28" s="10">
        <f t="shared" ref="D28:F28" si="6">D25*0.1</f>
        <v>419.57441999999975</v>
      </c>
      <c r="E28" s="10">
        <f t="shared" si="6"/>
        <v>-16660.573471199998</v>
      </c>
      <c r="F28" s="10">
        <f t="shared" si="6"/>
        <v>-16591.190736763998</v>
      </c>
      <c r="G28" s="30" t="s">
        <v>101</v>
      </c>
      <c r="P28"/>
      <c r="Q28" s="76"/>
      <c r="R28" s="76"/>
    </row>
    <row r="29" spans="1:18" ht="30" x14ac:dyDescent="0.25">
      <c r="A29" s="12" t="s">
        <v>32</v>
      </c>
      <c r="B29" s="39">
        <f>0.2*B25</f>
        <v>2385.3080000000004</v>
      </c>
      <c r="C29" s="39">
        <f t="shared" ref="C29:D29" si="7">0.2*C25</f>
        <v>3486.2284</v>
      </c>
      <c r="D29" s="39">
        <f t="shared" si="7"/>
        <v>839.1488399999995</v>
      </c>
      <c r="E29" s="10">
        <v>0</v>
      </c>
      <c r="F29" s="10">
        <v>0</v>
      </c>
      <c r="G29" s="37" t="s">
        <v>140</v>
      </c>
      <c r="P29" s="76"/>
      <c r="Q29" s="76"/>
      <c r="R29" s="76"/>
    </row>
    <row r="30" spans="1:18" x14ac:dyDescent="0.25">
      <c r="A30" s="11" t="s">
        <v>35</v>
      </c>
      <c r="B30" s="11">
        <f>B25+B26+B27-B28-B29</f>
        <v>11541.232</v>
      </c>
      <c r="C30" s="11">
        <f t="shared" ref="C30:F30" si="8">C25+C26+C27-C28-C29</f>
        <v>12201.7994</v>
      </c>
      <c r="D30" s="11">
        <f t="shared" si="8"/>
        <v>2937.0209399999981</v>
      </c>
      <c r="E30" s="12">
        <f t="shared" si="8"/>
        <v>-149945.16124079999</v>
      </c>
      <c r="F30" s="12">
        <f t="shared" si="8"/>
        <v>-149320.71663087598</v>
      </c>
      <c r="G30" s="14" t="s">
        <v>97</v>
      </c>
      <c r="P30" s="76"/>
      <c r="Q30" s="76"/>
      <c r="R30" s="76"/>
    </row>
  </sheetData>
  <conditionalFormatting sqref="B1:D1048576">
    <cfRule type="cellIs" dxfId="3" priority="3" operator="lessThan">
      <formula>0</formula>
    </cfRule>
  </conditionalFormatting>
  <conditionalFormatting sqref="E23">
    <cfRule type="cellIs" dxfId="2" priority="2" operator="lessThan">
      <formula>0</formula>
    </cfRule>
  </conditionalFormatting>
  <conditionalFormatting sqref="F23">
    <cfRule type="cellIs" dxfId="1" priority="1" operator="lessThan">
      <formula>0</formula>
    </cfRule>
  </conditionalFormatting>
  <printOptions headings="1" gridLines="1"/>
  <pageMargins left="0.70866141732283472" right="0.70866141732283472" top="0.74803149606299213" bottom="0.74803149606299213" header="0.31496062992125984" footer="0.31496062992125984"/>
  <pageSetup paperSize="9" scale="81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workbookViewId="0">
      <selection activeCell="C28" sqref="C28"/>
    </sheetView>
  </sheetViews>
  <sheetFormatPr defaultRowHeight="15" x14ac:dyDescent="0.25"/>
  <cols>
    <col min="1" max="1" width="27" customWidth="1"/>
    <col min="2" max="2" width="10.85546875" bestFit="1" customWidth="1"/>
    <col min="3" max="3" width="10.85546875" style="1" bestFit="1" customWidth="1"/>
    <col min="4" max="4" width="10.85546875" bestFit="1" customWidth="1"/>
    <col min="5" max="5" width="47" hidden="1" customWidth="1"/>
    <col min="7" max="7" width="28.85546875" customWidth="1"/>
  </cols>
  <sheetData>
    <row r="1" spans="1:5" ht="18.75" x14ac:dyDescent="0.3">
      <c r="A1" s="2" t="s">
        <v>142</v>
      </c>
    </row>
    <row r="2" spans="1:5" ht="30" x14ac:dyDescent="0.25">
      <c r="B2" s="20" t="s">
        <v>73</v>
      </c>
      <c r="C2" s="23" t="s">
        <v>74</v>
      </c>
      <c r="D2" s="20" t="s">
        <v>75</v>
      </c>
      <c r="E2" s="31" t="s">
        <v>139</v>
      </c>
    </row>
    <row r="3" spans="1:5" x14ac:dyDescent="0.25">
      <c r="A3" s="1" t="s">
        <v>69</v>
      </c>
      <c r="E3" s="28"/>
    </row>
    <row r="4" spans="1:5" x14ac:dyDescent="0.25">
      <c r="A4" t="s">
        <v>70</v>
      </c>
      <c r="B4" s="10">
        <v>43268.2</v>
      </c>
      <c r="C4" s="10">
        <v>43268.2</v>
      </c>
      <c r="D4" s="10">
        <v>43268.2</v>
      </c>
      <c r="E4" s="28" t="s">
        <v>102</v>
      </c>
    </row>
    <row r="5" spans="1:5" x14ac:dyDescent="0.25">
      <c r="A5" t="s">
        <v>79</v>
      </c>
      <c r="B5" s="10">
        <v>2000</v>
      </c>
      <c r="C5" s="24">
        <v>2000</v>
      </c>
      <c r="D5" s="10">
        <v>2000</v>
      </c>
      <c r="E5" s="28" t="s">
        <v>103</v>
      </c>
    </row>
    <row r="6" spans="1:5" s="33" customFormat="1" ht="45" x14ac:dyDescent="0.25">
      <c r="A6" s="33" t="s">
        <v>76</v>
      </c>
      <c r="B6" s="34"/>
      <c r="C6" s="35">
        <v>0</v>
      </c>
      <c r="D6" s="34"/>
      <c r="E6" s="36" t="s">
        <v>138</v>
      </c>
    </row>
    <row r="7" spans="1:5" x14ac:dyDescent="0.25">
      <c r="A7" s="4" t="s">
        <v>68</v>
      </c>
      <c r="B7" s="10">
        <f>SUM(B4:B6)</f>
        <v>45268.2</v>
      </c>
      <c r="C7" s="22">
        <f>SUM(C4:C6)</f>
        <v>45268.2</v>
      </c>
      <c r="D7" s="10">
        <f>SUM(D4:D6)</f>
        <v>45268.2</v>
      </c>
      <c r="E7" s="7" t="s">
        <v>97</v>
      </c>
    </row>
    <row r="8" spans="1:5" ht="30" x14ac:dyDescent="0.25">
      <c r="E8" s="31" t="s">
        <v>119</v>
      </c>
    </row>
    <row r="9" spans="1:5" x14ac:dyDescent="0.25">
      <c r="A9" s="1" t="s">
        <v>71</v>
      </c>
    </row>
    <row r="10" spans="1:5" x14ac:dyDescent="0.25">
      <c r="A10" t="s">
        <v>72</v>
      </c>
      <c r="B10" s="10">
        <v>50000</v>
      </c>
      <c r="C10" s="22">
        <v>50000</v>
      </c>
      <c r="D10" s="10">
        <v>50000</v>
      </c>
      <c r="E10" s="28" t="s">
        <v>104</v>
      </c>
    </row>
    <row r="11" spans="1:5" x14ac:dyDescent="0.25">
      <c r="A11" t="s">
        <v>50</v>
      </c>
      <c r="B11" s="10">
        <v>0</v>
      </c>
      <c r="C11" s="22">
        <v>0</v>
      </c>
      <c r="D11" s="10">
        <v>0</v>
      </c>
      <c r="E11" s="28" t="s">
        <v>104</v>
      </c>
    </row>
    <row r="12" spans="1:5" x14ac:dyDescent="0.25">
      <c r="A12" t="s">
        <v>85</v>
      </c>
      <c r="B12" s="10">
        <v>2000</v>
      </c>
      <c r="C12" s="22">
        <v>2000</v>
      </c>
      <c r="D12" s="10">
        <v>2000</v>
      </c>
      <c r="E12" s="28" t="s">
        <v>104</v>
      </c>
    </row>
    <row r="13" spans="1:5" x14ac:dyDescent="0.25">
      <c r="A13" t="s">
        <v>84</v>
      </c>
      <c r="B13" s="10">
        <v>0</v>
      </c>
      <c r="C13" s="22">
        <v>0</v>
      </c>
      <c r="D13" s="10"/>
      <c r="E13" s="28" t="s">
        <v>104</v>
      </c>
    </row>
    <row r="14" spans="1:5" x14ac:dyDescent="0.25">
      <c r="A14" s="4" t="s">
        <v>68</v>
      </c>
      <c r="B14" s="10">
        <f>SUM(B10:B13)</f>
        <v>52000</v>
      </c>
      <c r="C14" s="10">
        <f>SUM(C10:C13)</f>
        <v>52000</v>
      </c>
      <c r="D14" s="10">
        <f t="shared" ref="D14" si="0">SUM(D10:D13)</f>
        <v>52000</v>
      </c>
      <c r="E14" s="29" t="s">
        <v>97</v>
      </c>
    </row>
    <row r="16" spans="1:5" hidden="1" x14ac:dyDescent="0.25">
      <c r="A16" s="1" t="s">
        <v>67</v>
      </c>
    </row>
    <row r="17" spans="1:1" hidden="1" x14ac:dyDescent="0.25">
      <c r="A17" t="s">
        <v>145</v>
      </c>
    </row>
    <row r="18" spans="1:1" hidden="1" x14ac:dyDescent="0.25">
      <c r="A18" t="s">
        <v>93</v>
      </c>
    </row>
    <row r="19" spans="1:1" hidden="1" x14ac:dyDescent="0.25">
      <c r="A19" t="s">
        <v>86</v>
      </c>
    </row>
    <row r="20" spans="1:1" hidden="1" x14ac:dyDescent="0.25">
      <c r="A20" t="s">
        <v>87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2"/>
  <sheetViews>
    <sheetView workbookViewId="0">
      <selection activeCell="E18" sqref="E18"/>
    </sheetView>
  </sheetViews>
  <sheetFormatPr defaultRowHeight="15" x14ac:dyDescent="0.25"/>
  <cols>
    <col min="1" max="1" width="31.5703125" customWidth="1"/>
    <col min="2" max="2" width="10.85546875" bestFit="1" customWidth="1"/>
    <col min="3" max="13" width="9.85546875" bestFit="1" customWidth="1"/>
    <col min="15" max="15" width="24.85546875" hidden="1" customWidth="1"/>
  </cols>
  <sheetData>
    <row r="1" spans="1:15" ht="18.75" x14ac:dyDescent="0.3">
      <c r="A1" s="2" t="s">
        <v>63</v>
      </c>
    </row>
    <row r="2" spans="1:15" s="1" customFormat="1" x14ac:dyDescent="0.25"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37</v>
      </c>
      <c r="M2" s="1" t="s">
        <v>38</v>
      </c>
      <c r="N2" s="1" t="s">
        <v>68</v>
      </c>
    </row>
    <row r="3" spans="1:15" ht="60" x14ac:dyDescent="0.25">
      <c r="A3" s="3" t="s">
        <v>7</v>
      </c>
      <c r="B3" s="39">
        <f>'Balance sheet'!B10</f>
        <v>12863</v>
      </c>
      <c r="C3" s="10">
        <f>B22</f>
        <v>22949.246666666659</v>
      </c>
      <c r="D3" s="10">
        <f t="shared" ref="D3:M3" si="0">C22</f>
        <v>25852.183333333327</v>
      </c>
      <c r="E3" s="10">
        <f t="shared" si="0"/>
        <v>28755.119999999995</v>
      </c>
      <c r="F3" s="10">
        <f t="shared" si="0"/>
        <v>27012.586666666662</v>
      </c>
      <c r="G3" s="10">
        <f t="shared" si="0"/>
        <v>29915.523333333331</v>
      </c>
      <c r="H3" s="10">
        <f t="shared" si="0"/>
        <v>32818.46</v>
      </c>
      <c r="I3" s="10">
        <f t="shared" si="0"/>
        <v>31075.926666666666</v>
      </c>
      <c r="J3" s="10">
        <f t="shared" si="0"/>
        <v>33978.863333333335</v>
      </c>
      <c r="K3" s="10">
        <f t="shared" si="0"/>
        <v>36881.800000000003</v>
      </c>
      <c r="L3" s="10">
        <f t="shared" si="0"/>
        <v>35139.26666666667</v>
      </c>
      <c r="M3" s="10">
        <f t="shared" si="0"/>
        <v>38042.203333333338</v>
      </c>
      <c r="O3" s="38" t="s">
        <v>107</v>
      </c>
    </row>
    <row r="4" spans="1:15" x14ac:dyDescent="0.25">
      <c r="A4" s="8" t="s">
        <v>49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x14ac:dyDescent="0.25">
      <c r="A5" t="s">
        <v>13</v>
      </c>
      <c r="B5" s="10">
        <f>'Capital funding'!C10</f>
        <v>50000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7">
        <f t="shared" ref="N5:N7" si="1">SUM(B5:M5)</f>
        <v>50000</v>
      </c>
      <c r="O5" s="7" t="s">
        <v>97</v>
      </c>
    </row>
    <row r="6" spans="1:15" x14ac:dyDescent="0.25">
      <c r="A6" t="s">
        <v>50</v>
      </c>
      <c r="B6" s="10">
        <f>'Capital funding'!C11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7">
        <f t="shared" si="1"/>
        <v>0</v>
      </c>
      <c r="O6" s="7" t="s">
        <v>97</v>
      </c>
    </row>
    <row r="7" spans="1:15" x14ac:dyDescent="0.25">
      <c r="A7" t="s">
        <v>91</v>
      </c>
      <c r="B7" s="10">
        <f>'Capital funding'!C12+'Capital funding'!C13</f>
        <v>2000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7">
        <f t="shared" si="1"/>
        <v>2000</v>
      </c>
      <c r="O7" s="7" t="s">
        <v>97</v>
      </c>
    </row>
    <row r="8" spans="1:15" x14ac:dyDescent="0.25">
      <c r="A8" t="s">
        <v>18</v>
      </c>
      <c r="B8" s="10">
        <f>'Profit &amp; loss'!$B$9/12</f>
        <v>9900</v>
      </c>
      <c r="C8" s="10">
        <f>'Profit &amp; loss'!$B$9/12</f>
        <v>9900</v>
      </c>
      <c r="D8" s="10">
        <f>'Profit &amp; loss'!$B$9/12</f>
        <v>9900</v>
      </c>
      <c r="E8" s="10">
        <f>'Profit &amp; loss'!$B$9/12</f>
        <v>9900</v>
      </c>
      <c r="F8" s="10">
        <f>'Profit &amp; loss'!$B$9/12</f>
        <v>9900</v>
      </c>
      <c r="G8" s="10">
        <f>'Profit &amp; loss'!$B$9/12</f>
        <v>9900</v>
      </c>
      <c r="H8" s="10">
        <f>'Profit &amp; loss'!$B$9/12</f>
        <v>9900</v>
      </c>
      <c r="I8" s="10">
        <f>'Profit &amp; loss'!$B$9/12</f>
        <v>9900</v>
      </c>
      <c r="J8" s="10">
        <f>'Profit &amp; loss'!$B$9/12</f>
        <v>9900</v>
      </c>
      <c r="K8" s="10">
        <f>'Profit &amp; loss'!$B$9/12</f>
        <v>9900</v>
      </c>
      <c r="L8" s="10">
        <f>'Profit &amp; loss'!$B$9/12</f>
        <v>9900</v>
      </c>
      <c r="M8" s="10">
        <f>'Profit &amp; loss'!$B$9/12</f>
        <v>9900</v>
      </c>
      <c r="N8" s="17">
        <f>SUM(B8:M8)</f>
        <v>118800</v>
      </c>
      <c r="O8" s="28" t="s">
        <v>108</v>
      </c>
    </row>
    <row r="9" spans="1:15" x14ac:dyDescent="0.25">
      <c r="A9" t="s">
        <v>51</v>
      </c>
      <c r="B9" s="10">
        <f>B8*0.2</f>
        <v>1980</v>
      </c>
      <c r="C9" s="10">
        <f t="shared" ref="C9:M9" si="2">C8*0.2</f>
        <v>1980</v>
      </c>
      <c r="D9" s="10">
        <f t="shared" si="2"/>
        <v>1980</v>
      </c>
      <c r="E9" s="10">
        <f t="shared" si="2"/>
        <v>1980</v>
      </c>
      <c r="F9" s="10">
        <f t="shared" si="2"/>
        <v>1980</v>
      </c>
      <c r="G9" s="10">
        <f t="shared" si="2"/>
        <v>1980</v>
      </c>
      <c r="H9" s="10">
        <f t="shared" si="2"/>
        <v>1980</v>
      </c>
      <c r="I9" s="10">
        <f t="shared" si="2"/>
        <v>1980</v>
      </c>
      <c r="J9" s="10">
        <f t="shared" si="2"/>
        <v>1980</v>
      </c>
      <c r="K9" s="10">
        <f t="shared" si="2"/>
        <v>1980</v>
      </c>
      <c r="L9" s="10">
        <f t="shared" si="2"/>
        <v>1980</v>
      </c>
      <c r="M9" s="10">
        <f t="shared" si="2"/>
        <v>1980</v>
      </c>
      <c r="N9" s="17">
        <f t="shared" ref="N9:N10" si="3">SUM(B9:M9)</f>
        <v>23760</v>
      </c>
      <c r="O9" s="7" t="s">
        <v>97</v>
      </c>
    </row>
    <row r="10" spans="1:15" x14ac:dyDescent="0.25">
      <c r="A10" s="3" t="s">
        <v>61</v>
      </c>
      <c r="B10" s="10">
        <f>B5+B6+B7+B8+B9</f>
        <v>63880</v>
      </c>
      <c r="C10" s="10">
        <f t="shared" ref="C10:M10" si="4">C5+C6+C7+C8+C9</f>
        <v>11880</v>
      </c>
      <c r="D10" s="10">
        <f t="shared" si="4"/>
        <v>11880</v>
      </c>
      <c r="E10" s="10">
        <f t="shared" si="4"/>
        <v>11880</v>
      </c>
      <c r="F10" s="10">
        <f t="shared" si="4"/>
        <v>11880</v>
      </c>
      <c r="G10" s="10">
        <f t="shared" si="4"/>
        <v>11880</v>
      </c>
      <c r="H10" s="10">
        <f t="shared" si="4"/>
        <v>11880</v>
      </c>
      <c r="I10" s="10">
        <f t="shared" si="4"/>
        <v>11880</v>
      </c>
      <c r="J10" s="10">
        <f t="shared" si="4"/>
        <v>11880</v>
      </c>
      <c r="K10" s="10">
        <f t="shared" si="4"/>
        <v>11880</v>
      </c>
      <c r="L10" s="10">
        <f t="shared" si="4"/>
        <v>11880</v>
      </c>
      <c r="M10" s="10">
        <f t="shared" si="4"/>
        <v>11880</v>
      </c>
      <c r="N10" s="17">
        <f t="shared" si="3"/>
        <v>194560</v>
      </c>
      <c r="O10" s="7" t="s">
        <v>97</v>
      </c>
    </row>
    <row r="11" spans="1:15" x14ac:dyDescent="0.25">
      <c r="A11" s="8" t="s">
        <v>52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5" x14ac:dyDescent="0.25">
      <c r="A12" t="s">
        <v>53</v>
      </c>
      <c r="B12" s="10">
        <f>'Capital funding'!C4</f>
        <v>43268.2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7">
        <f t="shared" ref="N12:N13" si="5">SUM(B12:M12)</f>
        <v>43268.2</v>
      </c>
      <c r="O12" s="7" t="s">
        <v>97</v>
      </c>
    </row>
    <row r="13" spans="1:15" x14ac:dyDescent="0.25">
      <c r="A13" t="s">
        <v>54</v>
      </c>
      <c r="B13" s="10">
        <f>B12*0.05</f>
        <v>2163.41</v>
      </c>
      <c r="C13" s="10">
        <f t="shared" ref="C13:M13" si="6">C12*0.2</f>
        <v>0</v>
      </c>
      <c r="D13" s="10">
        <f t="shared" si="6"/>
        <v>0</v>
      </c>
      <c r="E13" s="10">
        <f t="shared" si="6"/>
        <v>0</v>
      </c>
      <c r="F13" s="10">
        <f t="shared" si="6"/>
        <v>0</v>
      </c>
      <c r="G13" s="10">
        <f t="shared" si="6"/>
        <v>0</v>
      </c>
      <c r="H13" s="10">
        <f t="shared" si="6"/>
        <v>0</v>
      </c>
      <c r="I13" s="10">
        <f t="shared" si="6"/>
        <v>0</v>
      </c>
      <c r="J13" s="10">
        <f t="shared" si="6"/>
        <v>0</v>
      </c>
      <c r="K13" s="10">
        <f t="shared" si="6"/>
        <v>0</v>
      </c>
      <c r="L13" s="10">
        <f t="shared" si="6"/>
        <v>0</v>
      </c>
      <c r="M13" s="10">
        <f t="shared" si="6"/>
        <v>0</v>
      </c>
      <c r="N13" s="17">
        <f t="shared" si="5"/>
        <v>2163.41</v>
      </c>
      <c r="O13" s="7" t="s">
        <v>97</v>
      </c>
    </row>
    <row r="14" spans="1:15" x14ac:dyDescent="0.25">
      <c r="A14" t="s">
        <v>55</v>
      </c>
      <c r="B14" s="10">
        <f>'Profit &amp; loss'!$B$10/12</f>
        <v>1062.5</v>
      </c>
      <c r="C14" s="10">
        <f>'Profit &amp; loss'!$B$10/12</f>
        <v>1062.5</v>
      </c>
      <c r="D14" s="10">
        <f>'Profit &amp; loss'!$B$10/12</f>
        <v>1062.5</v>
      </c>
      <c r="E14" s="10">
        <f>'Profit &amp; loss'!$B$10/12</f>
        <v>1062.5</v>
      </c>
      <c r="F14" s="10">
        <f>'Profit &amp; loss'!$B$10/12</f>
        <v>1062.5</v>
      </c>
      <c r="G14" s="10">
        <f>'Profit &amp; loss'!$B$10/12</f>
        <v>1062.5</v>
      </c>
      <c r="H14" s="10">
        <f>'Profit &amp; loss'!$B$10/12</f>
        <v>1062.5</v>
      </c>
      <c r="I14" s="10">
        <f>'Profit &amp; loss'!$B$10/12</f>
        <v>1062.5</v>
      </c>
      <c r="J14" s="10">
        <f>'Profit &amp; loss'!$B$10/12</f>
        <v>1062.5</v>
      </c>
      <c r="K14" s="10">
        <f>'Profit &amp; loss'!$B$10/12</f>
        <v>1062.5</v>
      </c>
      <c r="L14" s="10">
        <f>'Profit &amp; loss'!$B$10/12</f>
        <v>1062.5</v>
      </c>
      <c r="M14" s="10">
        <f>'Profit &amp; loss'!$B$10/12</f>
        <v>1062.5</v>
      </c>
      <c r="N14" s="17">
        <f>SUM(B14:M14)</f>
        <v>12750</v>
      </c>
      <c r="O14" s="28" t="s">
        <v>96</v>
      </c>
    </row>
    <row r="15" spans="1:15" x14ac:dyDescent="0.25">
      <c r="A15" t="s">
        <v>56</v>
      </c>
      <c r="B15" s="10">
        <f>B14*0.2</f>
        <v>212.5</v>
      </c>
      <c r="C15" s="10">
        <f t="shared" ref="C15:M15" si="7">C14*0.2</f>
        <v>212.5</v>
      </c>
      <c r="D15" s="10">
        <f t="shared" si="7"/>
        <v>212.5</v>
      </c>
      <c r="E15" s="10">
        <f t="shared" si="7"/>
        <v>212.5</v>
      </c>
      <c r="F15" s="10">
        <f t="shared" si="7"/>
        <v>212.5</v>
      </c>
      <c r="G15" s="10">
        <f t="shared" si="7"/>
        <v>212.5</v>
      </c>
      <c r="H15" s="10">
        <f t="shared" si="7"/>
        <v>212.5</v>
      </c>
      <c r="I15" s="10">
        <f t="shared" si="7"/>
        <v>212.5</v>
      </c>
      <c r="J15" s="10">
        <f t="shared" si="7"/>
        <v>212.5</v>
      </c>
      <c r="K15" s="10">
        <f t="shared" si="7"/>
        <v>212.5</v>
      </c>
      <c r="L15" s="10">
        <f t="shared" si="7"/>
        <v>212.5</v>
      </c>
      <c r="M15" s="10">
        <f t="shared" si="7"/>
        <v>212.5</v>
      </c>
      <c r="N15" s="17">
        <f t="shared" ref="N15:N21" si="8">SUM(B15:M15)</f>
        <v>2550</v>
      </c>
      <c r="O15" s="7" t="s">
        <v>97</v>
      </c>
    </row>
    <row r="16" spans="1:15" x14ac:dyDescent="0.25">
      <c r="A16" t="s">
        <v>21</v>
      </c>
      <c r="B16" s="10">
        <f>'Profit &amp; loss'!$B$19/12</f>
        <v>7300.333333333333</v>
      </c>
      <c r="C16" s="10">
        <f>'Profit &amp; loss'!$B$19/12</f>
        <v>7300.333333333333</v>
      </c>
      <c r="D16" s="10">
        <f>'Profit &amp; loss'!$B$19/12</f>
        <v>7300.333333333333</v>
      </c>
      <c r="E16" s="10">
        <f>'Profit &amp; loss'!$B$19/12</f>
        <v>7300.333333333333</v>
      </c>
      <c r="F16" s="10">
        <f>'Profit &amp; loss'!$B$19/12</f>
        <v>7300.333333333333</v>
      </c>
      <c r="G16" s="10">
        <f>'Profit &amp; loss'!$B$19/12</f>
        <v>7300.333333333333</v>
      </c>
      <c r="H16" s="10">
        <f>'Profit &amp; loss'!$B$19/12</f>
        <v>7300.333333333333</v>
      </c>
      <c r="I16" s="10">
        <f>'Profit &amp; loss'!$B$19/12</f>
        <v>7300.333333333333</v>
      </c>
      <c r="J16" s="10">
        <f>'Profit &amp; loss'!$B$19/12</f>
        <v>7300.333333333333</v>
      </c>
      <c r="K16" s="10">
        <f>'Profit &amp; loss'!$B$19/12</f>
        <v>7300.333333333333</v>
      </c>
      <c r="L16" s="10">
        <f>'Profit &amp; loss'!$B$19/12</f>
        <v>7300.333333333333</v>
      </c>
      <c r="M16" s="10">
        <f>'Profit &amp; loss'!$B$19/12</f>
        <v>7300.333333333333</v>
      </c>
      <c r="N16" s="17">
        <f t="shared" si="8"/>
        <v>87603.999999999985</v>
      </c>
      <c r="O16" s="28" t="s">
        <v>96</v>
      </c>
    </row>
    <row r="17" spans="1:15" x14ac:dyDescent="0.25">
      <c r="A17" t="s">
        <v>57</v>
      </c>
      <c r="B17" s="10">
        <f>B16*0.03</f>
        <v>219.01</v>
      </c>
      <c r="C17" s="10">
        <f t="shared" ref="C17:M17" si="9">C16*0.03</f>
        <v>219.01</v>
      </c>
      <c r="D17" s="10">
        <f t="shared" si="9"/>
        <v>219.01</v>
      </c>
      <c r="E17" s="10">
        <f t="shared" si="9"/>
        <v>219.01</v>
      </c>
      <c r="F17" s="10">
        <f t="shared" si="9"/>
        <v>219.01</v>
      </c>
      <c r="G17" s="10">
        <f t="shared" si="9"/>
        <v>219.01</v>
      </c>
      <c r="H17" s="10">
        <f t="shared" si="9"/>
        <v>219.01</v>
      </c>
      <c r="I17" s="10">
        <f t="shared" si="9"/>
        <v>219.01</v>
      </c>
      <c r="J17" s="10">
        <f t="shared" si="9"/>
        <v>219.01</v>
      </c>
      <c r="K17" s="10">
        <f t="shared" si="9"/>
        <v>219.01</v>
      </c>
      <c r="L17" s="10">
        <f t="shared" si="9"/>
        <v>219.01</v>
      </c>
      <c r="M17" s="10">
        <f t="shared" si="9"/>
        <v>219.01</v>
      </c>
      <c r="N17" s="17">
        <f t="shared" si="8"/>
        <v>2628.12</v>
      </c>
      <c r="O17" s="7" t="s">
        <v>97</v>
      </c>
    </row>
    <row r="18" spans="1:15" x14ac:dyDescent="0.25">
      <c r="A18" t="s">
        <v>58</v>
      </c>
      <c r="B18" s="10">
        <f>B9-B13-B15-B17</f>
        <v>-614.91999999999985</v>
      </c>
      <c r="C18" s="10"/>
      <c r="D18" s="10"/>
      <c r="E18" s="10">
        <f>(C9+D9+E9)-(C13+D13+E13)-(C15+D15+E15)-(C17+D17+E17)</f>
        <v>4645.47</v>
      </c>
      <c r="F18" s="10"/>
      <c r="G18" s="10"/>
      <c r="H18" s="10">
        <f>(F9+G9+H9)-(F13+G13+H13)-(F15+G15+H15)-(F17+G17+H17)</f>
        <v>4645.47</v>
      </c>
      <c r="I18" s="10"/>
      <c r="J18" s="10"/>
      <c r="K18" s="10">
        <f>(I9+J9+K9)-(I13+J13+K13)-(I15+J15+K15)-(I17+J17+K17)</f>
        <v>4645.47</v>
      </c>
      <c r="L18" s="10"/>
      <c r="M18" s="10"/>
      <c r="N18" s="17">
        <f t="shared" si="8"/>
        <v>13321.490000000002</v>
      </c>
      <c r="O18" s="29" t="s">
        <v>97</v>
      </c>
    </row>
    <row r="19" spans="1:15" x14ac:dyDescent="0.25">
      <c r="A19" t="s">
        <v>59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7">
        <f t="shared" si="8"/>
        <v>0</v>
      </c>
      <c r="O19" s="28" t="s">
        <v>96</v>
      </c>
    </row>
    <row r="20" spans="1:15" x14ac:dyDescent="0.25">
      <c r="A20" t="s">
        <v>60</v>
      </c>
      <c r="B20" s="10">
        <v>182.72</v>
      </c>
      <c r="C20" s="10">
        <v>182.72</v>
      </c>
      <c r="D20" s="10">
        <v>182.72</v>
      </c>
      <c r="E20" s="10">
        <v>182.72</v>
      </c>
      <c r="F20" s="10">
        <v>182.72</v>
      </c>
      <c r="G20" s="10">
        <v>182.72</v>
      </c>
      <c r="H20" s="10">
        <v>182.72</v>
      </c>
      <c r="I20" s="10">
        <v>182.72</v>
      </c>
      <c r="J20" s="10">
        <v>182.72</v>
      </c>
      <c r="K20" s="10">
        <v>182.72</v>
      </c>
      <c r="L20" s="10">
        <v>182.72</v>
      </c>
      <c r="M20" s="10">
        <v>182.72</v>
      </c>
      <c r="N20" s="17">
        <f t="shared" si="8"/>
        <v>2192.64</v>
      </c>
      <c r="O20" s="28" t="s">
        <v>96</v>
      </c>
    </row>
    <row r="21" spans="1:15" x14ac:dyDescent="0.25">
      <c r="A21" s="3" t="s">
        <v>62</v>
      </c>
      <c r="B21" s="10">
        <f>B12+B13+B14+B15+B16+B17+B18+B19+B20</f>
        <v>53793.753333333341</v>
      </c>
      <c r="C21" s="10">
        <f t="shared" ref="C21:M21" si="10">C12+C13+C14+C15+C16+C17+C18+C19+C20</f>
        <v>8977.0633333333317</v>
      </c>
      <c r="D21" s="10">
        <f t="shared" si="10"/>
        <v>8977.0633333333317</v>
      </c>
      <c r="E21" s="10">
        <f t="shared" si="10"/>
        <v>13622.533333333331</v>
      </c>
      <c r="F21" s="10">
        <f t="shared" si="10"/>
        <v>8977.0633333333317</v>
      </c>
      <c r="G21" s="10">
        <f t="shared" si="10"/>
        <v>8977.0633333333317</v>
      </c>
      <c r="H21" s="10">
        <f t="shared" si="10"/>
        <v>13622.533333333331</v>
      </c>
      <c r="I21" s="10">
        <f t="shared" si="10"/>
        <v>8977.0633333333317</v>
      </c>
      <c r="J21" s="10">
        <f t="shared" si="10"/>
        <v>8977.0633333333317</v>
      </c>
      <c r="K21" s="10">
        <f t="shared" si="10"/>
        <v>13622.533333333331</v>
      </c>
      <c r="L21" s="10">
        <f t="shared" si="10"/>
        <v>8977.0633333333317</v>
      </c>
      <c r="M21" s="10">
        <f t="shared" si="10"/>
        <v>8977.0633333333317</v>
      </c>
      <c r="N21" s="17">
        <f t="shared" si="8"/>
        <v>166477.85999999993</v>
      </c>
      <c r="O21" s="29" t="s">
        <v>97</v>
      </c>
    </row>
    <row r="22" spans="1:15" x14ac:dyDescent="0.25">
      <c r="A22" s="3" t="s">
        <v>9</v>
      </c>
      <c r="B22" s="10">
        <f>B3+B10-B21</f>
        <v>22949.246666666659</v>
      </c>
      <c r="C22" s="10">
        <f t="shared" ref="C22:M22" si="11">C3+C10-C21</f>
        <v>25852.183333333327</v>
      </c>
      <c r="D22" s="10">
        <f t="shared" si="11"/>
        <v>28755.119999999995</v>
      </c>
      <c r="E22" s="10">
        <f t="shared" si="11"/>
        <v>27012.586666666662</v>
      </c>
      <c r="F22" s="10">
        <f t="shared" si="11"/>
        <v>29915.523333333331</v>
      </c>
      <c r="G22" s="10">
        <f t="shared" si="11"/>
        <v>32818.46</v>
      </c>
      <c r="H22" s="10">
        <f t="shared" si="11"/>
        <v>31075.926666666666</v>
      </c>
      <c r="I22" s="10">
        <f t="shared" si="11"/>
        <v>33978.863333333335</v>
      </c>
      <c r="J22" s="10">
        <f t="shared" si="11"/>
        <v>36881.800000000003</v>
      </c>
      <c r="K22" s="10">
        <f t="shared" si="11"/>
        <v>35139.26666666667</v>
      </c>
      <c r="L22" s="10">
        <f t="shared" si="11"/>
        <v>38042.203333333338</v>
      </c>
      <c r="M22" s="10">
        <f t="shared" si="11"/>
        <v>40945.140000000007</v>
      </c>
      <c r="O22" s="29" t="s">
        <v>97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4294967293" r:id="rId1"/>
  <ignoredErrors>
    <ignoredError sqref="B14:M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6"/>
  <sheetViews>
    <sheetView workbookViewId="0">
      <selection activeCell="L19" sqref="L19"/>
    </sheetView>
  </sheetViews>
  <sheetFormatPr defaultRowHeight="15" x14ac:dyDescent="0.25"/>
  <cols>
    <col min="1" max="1" width="33.140625" customWidth="1"/>
    <col min="2" max="2" width="10.85546875" bestFit="1" customWidth="1"/>
    <col min="5" max="5" width="0" hidden="1" customWidth="1"/>
    <col min="6" max="6" width="10.85546875" hidden="1" customWidth="1"/>
    <col min="7" max="7" width="74.85546875" hidden="1" customWidth="1"/>
    <col min="8" max="8" width="4.85546875" customWidth="1"/>
    <col min="9" max="10" width="8.85546875" hidden="1" customWidth="1"/>
  </cols>
  <sheetData>
    <row r="1" spans="1:7" ht="18.75" x14ac:dyDescent="0.3">
      <c r="A1" s="2" t="s">
        <v>184</v>
      </c>
    </row>
    <row r="2" spans="1:7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s="1" t="s">
        <v>67</v>
      </c>
    </row>
    <row r="3" spans="1:7" x14ac:dyDescent="0.25">
      <c r="A3" s="3" t="s">
        <v>7</v>
      </c>
      <c r="B3" s="22">
        <f>'Cash flow (year one)'!B3</f>
        <v>12863</v>
      </c>
      <c r="C3" s="78">
        <f>B26</f>
        <v>39647.090000000026</v>
      </c>
      <c r="D3" s="78">
        <f t="shared" ref="D3:F3" si="0">C26</f>
        <v>85444.977399999974</v>
      </c>
      <c r="E3" s="17">
        <f t="shared" si="0"/>
        <v>172692.01254000003</v>
      </c>
      <c r="F3" s="17">
        <f t="shared" si="0"/>
        <v>73008.463079200024</v>
      </c>
      <c r="G3" s="7" t="s">
        <v>129</v>
      </c>
    </row>
    <row r="4" spans="1:7" x14ac:dyDescent="0.25">
      <c r="A4" s="8" t="s">
        <v>49</v>
      </c>
      <c r="B4" s="10"/>
    </row>
    <row r="5" spans="1:7" x14ac:dyDescent="0.25">
      <c r="A5" t="s">
        <v>13</v>
      </c>
      <c r="B5" s="10">
        <f>'Share capital liquidity'!B4</f>
        <v>50000</v>
      </c>
      <c r="C5" s="10">
        <f>'Share capital liquidity'!C4</f>
        <v>200000</v>
      </c>
      <c r="D5" s="10">
        <f>'Share capital liquidity'!D4</f>
        <v>400000</v>
      </c>
      <c r="E5" s="10">
        <f>'Share capital liquidity'!E4</f>
        <v>19680.599999999999</v>
      </c>
      <c r="F5" s="10">
        <f>'Share capital liquidity'!F4</f>
        <v>19680.599999999999</v>
      </c>
      <c r="G5" s="7" t="s">
        <v>120</v>
      </c>
    </row>
    <row r="6" spans="1:7" x14ac:dyDescent="0.25">
      <c r="A6" t="s">
        <v>50</v>
      </c>
      <c r="B6" s="10">
        <f>'Cash flow (year one)'!N6</f>
        <v>0</v>
      </c>
      <c r="C6" s="10">
        <v>0</v>
      </c>
      <c r="D6" s="10">
        <v>0</v>
      </c>
      <c r="E6" s="10">
        <v>0</v>
      </c>
      <c r="F6" s="10">
        <v>0</v>
      </c>
      <c r="G6" s="7" t="s">
        <v>121</v>
      </c>
    </row>
    <row r="7" spans="1:7" x14ac:dyDescent="0.25">
      <c r="A7" t="s">
        <v>90</v>
      </c>
      <c r="B7" s="10">
        <f>'Cash flow (year one)'!N7</f>
        <v>2000</v>
      </c>
      <c r="C7" s="10">
        <v>0</v>
      </c>
      <c r="D7" s="10">
        <v>0</v>
      </c>
      <c r="E7" s="10">
        <v>0</v>
      </c>
      <c r="F7" s="10">
        <v>0</v>
      </c>
      <c r="G7" s="7" t="s">
        <v>121</v>
      </c>
    </row>
    <row r="8" spans="1:7" x14ac:dyDescent="0.25">
      <c r="A8" t="s">
        <v>18</v>
      </c>
      <c r="B8" s="10">
        <f>'Cash flow (year one)'!N8</f>
        <v>118800</v>
      </c>
      <c r="C8" s="10">
        <f>'Profit &amp; loss'!C9</f>
        <v>145950</v>
      </c>
      <c r="D8" s="10">
        <f>'Profit &amp; loss'!D9</f>
        <v>184700</v>
      </c>
      <c r="E8" s="10">
        <f>'Profit &amp; loss'!E9</f>
        <v>0</v>
      </c>
      <c r="F8" s="10">
        <f>'Profit &amp; loss'!F9</f>
        <v>0</v>
      </c>
      <c r="G8" s="7" t="s">
        <v>122</v>
      </c>
    </row>
    <row r="9" spans="1:7" x14ac:dyDescent="0.25">
      <c r="A9" t="s">
        <v>51</v>
      </c>
      <c r="B9" s="10">
        <f>'Cash flow (year one)'!N9</f>
        <v>23760</v>
      </c>
      <c r="C9" s="10">
        <f t="shared" ref="C9:F9" si="1">C8*0.2</f>
        <v>29190</v>
      </c>
      <c r="D9" s="10">
        <f t="shared" si="1"/>
        <v>36940</v>
      </c>
      <c r="E9" s="10">
        <f t="shared" si="1"/>
        <v>0</v>
      </c>
      <c r="F9" s="10">
        <f t="shared" si="1"/>
        <v>0</v>
      </c>
      <c r="G9" s="7" t="s">
        <v>121</v>
      </c>
    </row>
    <row r="10" spans="1:7" x14ac:dyDescent="0.25">
      <c r="A10" s="3" t="s">
        <v>61</v>
      </c>
      <c r="B10" s="22">
        <f>SUM(B5:B9)</f>
        <v>194560</v>
      </c>
      <c r="C10" s="22">
        <f>SUM(C5:C9)</f>
        <v>375140</v>
      </c>
      <c r="D10" s="22">
        <f>SUM(D5:D9)</f>
        <v>621640</v>
      </c>
      <c r="E10" s="10">
        <f>SUM(E5:E9)</f>
        <v>19680.599999999999</v>
      </c>
      <c r="F10" s="10">
        <f>SUM(F5:F9)</f>
        <v>19680.599999999999</v>
      </c>
    </row>
    <row r="11" spans="1:7" x14ac:dyDescent="0.25">
      <c r="A11" s="8" t="s">
        <v>52</v>
      </c>
      <c r="B11" s="10"/>
      <c r="C11" s="10"/>
      <c r="D11" s="10"/>
      <c r="E11" s="10"/>
    </row>
    <row r="12" spans="1:7" x14ac:dyDescent="0.25">
      <c r="A12" t="s">
        <v>53</v>
      </c>
      <c r="B12" s="10">
        <f>'Cash flow (year one)'!N12</f>
        <v>43268.2</v>
      </c>
      <c r="C12" s="10">
        <f>0.85*C5</f>
        <v>170000</v>
      </c>
      <c r="D12" s="10">
        <f>0.85*D5</f>
        <v>340000</v>
      </c>
      <c r="E12" s="10">
        <v>0</v>
      </c>
      <c r="F12" s="10">
        <v>0</v>
      </c>
      <c r="G12" s="7" t="s">
        <v>118</v>
      </c>
    </row>
    <row r="13" spans="1:7" x14ac:dyDescent="0.25">
      <c r="A13" t="s">
        <v>54</v>
      </c>
      <c r="B13" s="10">
        <f>'Cash flow (year one)'!N13</f>
        <v>2163.41</v>
      </c>
      <c r="C13" s="10">
        <f t="shared" ref="C13:F13" si="2">C12*0.2</f>
        <v>34000</v>
      </c>
      <c r="D13" s="10">
        <f t="shared" si="2"/>
        <v>68000</v>
      </c>
      <c r="E13" s="10">
        <f t="shared" si="2"/>
        <v>0</v>
      </c>
      <c r="F13" s="10">
        <f t="shared" si="2"/>
        <v>0</v>
      </c>
      <c r="G13" s="7" t="s">
        <v>123</v>
      </c>
    </row>
    <row r="14" spans="1:7" x14ac:dyDescent="0.25">
      <c r="A14" t="s">
        <v>55</v>
      </c>
      <c r="B14" s="10">
        <f>'Profit &amp; loss'!B10</f>
        <v>12750</v>
      </c>
      <c r="C14" s="10">
        <f>'Profit &amp; loss'!C10</f>
        <v>34000</v>
      </c>
      <c r="D14" s="10">
        <f>'Profit &amp; loss'!D10</f>
        <v>56100</v>
      </c>
      <c r="E14" s="10">
        <f>'Profit &amp; loss'!E10</f>
        <v>0</v>
      </c>
      <c r="F14" s="10">
        <f>'Profit &amp; loss'!F10</f>
        <v>0</v>
      </c>
      <c r="G14" s="7" t="s">
        <v>117</v>
      </c>
    </row>
    <row r="15" spans="1:7" x14ac:dyDescent="0.25">
      <c r="A15" t="s">
        <v>56</v>
      </c>
      <c r="B15" s="10">
        <f>'Cash flow (year one)'!N15</f>
        <v>2550</v>
      </c>
      <c r="C15" s="10">
        <f t="shared" ref="C15:F15" si="3">C14*0.2</f>
        <v>6800</v>
      </c>
      <c r="D15" s="10">
        <f t="shared" si="3"/>
        <v>11220</v>
      </c>
      <c r="E15" s="10">
        <f t="shared" si="3"/>
        <v>0</v>
      </c>
      <c r="F15" s="10">
        <f t="shared" si="3"/>
        <v>0</v>
      </c>
      <c r="G15" s="7" t="s">
        <v>124</v>
      </c>
    </row>
    <row r="16" spans="1:7" x14ac:dyDescent="0.25">
      <c r="A16" t="s">
        <v>21</v>
      </c>
      <c r="B16" s="10">
        <f>'Profit &amp; loss'!B19</f>
        <v>87604</v>
      </c>
      <c r="C16" s="10">
        <f>'Profit &amp; loss'!C19</f>
        <v>87432.08</v>
      </c>
      <c r="D16" s="10">
        <f>'Profit &amp; loss'!D19</f>
        <v>96686.891600000003</v>
      </c>
      <c r="E16" s="10">
        <f>'Profit &amp; loss'!E19</f>
        <v>101031.082932</v>
      </c>
      <c r="F16" s="10">
        <f>'Profit &amp; loss'!F19</f>
        <v>105582.68076564001</v>
      </c>
      <c r="G16" s="7" t="s">
        <v>125</v>
      </c>
    </row>
    <row r="17" spans="1:7" x14ac:dyDescent="0.25">
      <c r="A17" t="s">
        <v>57</v>
      </c>
      <c r="B17" s="10">
        <f>'Cash flow (year one)'!N17</f>
        <v>2628.12</v>
      </c>
      <c r="C17" s="10">
        <f t="shared" ref="C17:F17" si="4">C16*0.03</f>
        <v>2622.9623999999999</v>
      </c>
      <c r="D17" s="10">
        <f t="shared" si="4"/>
        <v>2900.6067480000002</v>
      </c>
      <c r="E17" s="10">
        <f t="shared" si="4"/>
        <v>3030.9324879599999</v>
      </c>
      <c r="F17" s="10">
        <f t="shared" si="4"/>
        <v>3167.4804229691999</v>
      </c>
      <c r="G17" s="7" t="s">
        <v>126</v>
      </c>
    </row>
    <row r="18" spans="1:7" x14ac:dyDescent="0.25">
      <c r="A18" t="s">
        <v>58</v>
      </c>
      <c r="B18" s="10">
        <f>'Cash flow (year one)'!N18</f>
        <v>13321.490000000002</v>
      </c>
      <c r="C18" s="10">
        <f t="shared" ref="C18:F18" si="5">C9-C13-C15-C17</f>
        <v>-14232.9624</v>
      </c>
      <c r="D18" s="10">
        <f t="shared" si="5"/>
        <v>-45180.606747999998</v>
      </c>
      <c r="E18" s="10">
        <f t="shared" si="5"/>
        <v>-3030.9324879599999</v>
      </c>
      <c r="F18" s="10">
        <f t="shared" si="5"/>
        <v>-3167.4804229691999</v>
      </c>
      <c r="G18" s="7" t="s">
        <v>97</v>
      </c>
    </row>
    <row r="19" spans="1:7" x14ac:dyDescent="0.25">
      <c r="A19" t="s">
        <v>59</v>
      </c>
      <c r="B19" s="10">
        <f>'Cash flow (year one)'!N19</f>
        <v>0</v>
      </c>
      <c r="C19" s="10">
        <f>'Profit &amp; loss'!C24</f>
        <v>0</v>
      </c>
      <c r="D19" s="10">
        <f>'Profit &amp; loss'!D24</f>
        <v>0</v>
      </c>
      <c r="E19" s="10">
        <f>'Profit &amp; loss'!E24</f>
        <v>0</v>
      </c>
      <c r="F19" s="10">
        <f>'Profit &amp; loss'!F24</f>
        <v>0</v>
      </c>
      <c r="G19" s="7" t="s">
        <v>117</v>
      </c>
    </row>
    <row r="20" spans="1:7" x14ac:dyDescent="0.25">
      <c r="A20" t="s">
        <v>60</v>
      </c>
      <c r="B20" s="10">
        <f>'Cash flow (year one)'!$N$20</f>
        <v>2192.64</v>
      </c>
      <c r="C20" s="10">
        <f>'Cash flow (year one)'!$N$20</f>
        <v>2192.64</v>
      </c>
      <c r="D20" s="10">
        <f>'Cash flow (year one)'!$N$20</f>
        <v>2192.64</v>
      </c>
      <c r="E20" s="10">
        <f>'Cash flow (year one)'!$N$20</f>
        <v>2192.64</v>
      </c>
      <c r="F20" s="10">
        <f>'Cash flow (year one)'!$N$20</f>
        <v>2192.64</v>
      </c>
      <c r="G20" s="28" t="s">
        <v>128</v>
      </c>
    </row>
    <row r="21" spans="1:7" x14ac:dyDescent="0.25">
      <c r="A21" t="s">
        <v>64</v>
      </c>
      <c r="B21" s="10">
        <v>1298.05</v>
      </c>
      <c r="C21" s="10">
        <v>1298.05</v>
      </c>
      <c r="D21" s="10">
        <v>1214.71</v>
      </c>
      <c r="E21" s="10">
        <v>0</v>
      </c>
      <c r="F21" s="10">
        <v>0</v>
      </c>
      <c r="G21" s="28" t="s">
        <v>127</v>
      </c>
    </row>
    <row r="22" spans="1:7" x14ac:dyDescent="0.25">
      <c r="A22" t="s">
        <v>65</v>
      </c>
      <c r="B22" s="10">
        <f>'Cash flow (year one)'!N22</f>
        <v>0</v>
      </c>
      <c r="C22" s="10">
        <f>'Share capital liquidity'!C7</f>
        <v>0</v>
      </c>
      <c r="D22" s="10">
        <f>'Share capital liquidity'!D7</f>
        <v>0</v>
      </c>
      <c r="E22" s="10">
        <f>'Share capital liquidity'!E7</f>
        <v>32801</v>
      </c>
      <c r="F22" s="10">
        <f>'Share capital liquidity'!F7</f>
        <v>32801</v>
      </c>
      <c r="G22" s="7" t="s">
        <v>130</v>
      </c>
    </row>
    <row r="23" spans="1:7" x14ac:dyDescent="0.25">
      <c r="A23" t="s">
        <v>33</v>
      </c>
      <c r="B23" s="10">
        <f>'Cash flow (year one)'!N23</f>
        <v>0</v>
      </c>
      <c r="C23" s="10">
        <f>'Profit &amp; loss'!C28</f>
        <v>1743.1142</v>
      </c>
      <c r="D23" s="10">
        <f>'Profit &amp; loss'!D28</f>
        <v>419.57441999999975</v>
      </c>
      <c r="E23" s="10">
        <f>'Profit &amp; loss'!E28</f>
        <v>-16660.573471199998</v>
      </c>
      <c r="F23" s="10">
        <f>'Profit &amp; loss'!F28</f>
        <v>-16591.190736763998</v>
      </c>
      <c r="G23" s="7" t="s">
        <v>117</v>
      </c>
    </row>
    <row r="24" spans="1:7" x14ac:dyDescent="0.25">
      <c r="A24" t="s">
        <v>66</v>
      </c>
      <c r="B24" s="10">
        <f>'Cash flow (year one)'!N24</f>
        <v>0</v>
      </c>
      <c r="C24" s="10">
        <f>'Profit &amp; loss'!C29</f>
        <v>3486.2284</v>
      </c>
      <c r="D24" s="10">
        <f>'Profit &amp; loss'!D29</f>
        <v>839.1488399999995</v>
      </c>
      <c r="E24" s="10">
        <f>'Profit &amp; loss'!E29</f>
        <v>0</v>
      </c>
      <c r="F24" s="10">
        <f>'Profit &amp; loss'!F29</f>
        <v>0</v>
      </c>
      <c r="G24" s="7" t="s">
        <v>117</v>
      </c>
    </row>
    <row r="25" spans="1:7" x14ac:dyDescent="0.25">
      <c r="A25" s="3" t="s">
        <v>62</v>
      </c>
      <c r="B25" s="22">
        <f>SUM(B12:B24)</f>
        <v>167775.90999999997</v>
      </c>
      <c r="C25" s="22">
        <f t="shared" ref="C25:F25" si="6">SUM(C12:C24)</f>
        <v>329342.11260000005</v>
      </c>
      <c r="D25" s="22">
        <f t="shared" si="6"/>
        <v>534392.96485999995</v>
      </c>
      <c r="E25" s="10">
        <f t="shared" si="6"/>
        <v>119364.14946080001</v>
      </c>
      <c r="F25" s="10">
        <f t="shared" si="6"/>
        <v>123985.13002887601</v>
      </c>
      <c r="G25" s="7" t="s">
        <v>97</v>
      </c>
    </row>
    <row r="26" spans="1:7" x14ac:dyDescent="0.25">
      <c r="A26" s="3" t="s">
        <v>9</v>
      </c>
      <c r="B26" s="22">
        <f>B3+B10-B25</f>
        <v>39647.090000000026</v>
      </c>
      <c r="C26" s="22">
        <f>C3+C10-C25</f>
        <v>85444.977399999974</v>
      </c>
      <c r="D26" s="22">
        <f>D3+D10-D25</f>
        <v>172692.01254000003</v>
      </c>
      <c r="E26" s="10">
        <f>E3+E10-E25</f>
        <v>73008.463079200024</v>
      </c>
      <c r="F26" s="10">
        <f>F3+F10-F25</f>
        <v>-31296.066949675995</v>
      </c>
      <c r="G26" s="7" t="s">
        <v>97</v>
      </c>
    </row>
  </sheetData>
  <conditionalFormatting sqref="B1:F1048576">
    <cfRule type="cellIs" dxfId="0" priority="1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88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4"/>
  <sheetViews>
    <sheetView workbookViewId="0">
      <selection activeCell="I17" sqref="I17"/>
    </sheetView>
  </sheetViews>
  <sheetFormatPr defaultRowHeight="15" x14ac:dyDescent="0.25"/>
  <cols>
    <col min="1" max="1" width="39.7109375" bestFit="1" customWidth="1"/>
    <col min="2" max="5" width="10.85546875" bestFit="1" customWidth="1"/>
    <col min="6" max="7" width="10.85546875" hidden="1" customWidth="1"/>
    <col min="8" max="8" width="64.85546875" style="7" hidden="1" customWidth="1"/>
    <col min="11" max="14" width="9.140625" hidden="1" customWidth="1"/>
    <col min="15" max="15" width="10.5703125" hidden="1" customWidth="1"/>
  </cols>
  <sheetData>
    <row r="1" spans="1:15" ht="18.75" x14ac:dyDescent="0.3">
      <c r="A1" s="2" t="s">
        <v>11</v>
      </c>
    </row>
    <row r="2" spans="1:15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1" t="s">
        <v>67</v>
      </c>
    </row>
    <row r="3" spans="1:15" x14ac:dyDescent="0.25">
      <c r="A3" s="25" t="s">
        <v>77</v>
      </c>
      <c r="B3" s="39">
        <f>'Capital funding'!C4</f>
        <v>43268.2</v>
      </c>
      <c r="C3" s="39">
        <f>B3*0.9</f>
        <v>38941.379999999997</v>
      </c>
      <c r="D3" s="39">
        <f>(C3*0.9)+'Cash flow (years 1-3)'!C12</f>
        <v>205047.242</v>
      </c>
      <c r="E3" s="39">
        <f>(D3*0.9)+'Cash flow (years 1-3)'!D12</f>
        <v>524542.51780000003</v>
      </c>
      <c r="F3" s="39">
        <f>E3*0.9</f>
        <v>472088.26602000004</v>
      </c>
      <c r="G3" s="39">
        <f>F3*0.9</f>
        <v>424879.43941800005</v>
      </c>
      <c r="H3" s="7" t="s">
        <v>115</v>
      </c>
    </row>
    <row r="4" spans="1:15" x14ac:dyDescent="0.25">
      <c r="A4" s="25" t="s">
        <v>192</v>
      </c>
      <c r="B4" s="39">
        <f>O5</f>
        <v>25431</v>
      </c>
      <c r="C4" s="39">
        <f>B4-(12*$O$6)</f>
        <v>21231</v>
      </c>
      <c r="D4" s="39">
        <f t="shared" ref="D4:G4" si="0">C4-(12*$O$6)</f>
        <v>17031</v>
      </c>
      <c r="E4" s="39">
        <f t="shared" si="0"/>
        <v>12831</v>
      </c>
      <c r="F4" s="39">
        <f t="shared" si="0"/>
        <v>8631</v>
      </c>
      <c r="G4" s="39">
        <f t="shared" si="0"/>
        <v>4431</v>
      </c>
      <c r="K4" s="1" t="s">
        <v>182</v>
      </c>
    </row>
    <row r="5" spans="1:15" x14ac:dyDescent="0.25">
      <c r="A5" s="25" t="s">
        <v>36</v>
      </c>
      <c r="B5" s="39">
        <f>(B13-B3)+(B6-B4)</f>
        <v>10781.290000000003</v>
      </c>
      <c r="C5" s="39">
        <f>'Cash flow (years 1-3)'!B26</f>
        <v>39647.090000000026</v>
      </c>
      <c r="D5" s="39">
        <f>'Cash flow (years 1-3)'!C26</f>
        <v>85444.977399999974</v>
      </c>
      <c r="E5" s="39">
        <f>'Cash flow (years 1-3)'!D26</f>
        <v>172692.01254000003</v>
      </c>
      <c r="F5" s="39">
        <f>'Cash flow (years 1-3)'!E26</f>
        <v>73008.463079200024</v>
      </c>
      <c r="G5" s="39">
        <f>'Cash flow (years 1-3)'!F26</f>
        <v>-31296.066949675995</v>
      </c>
      <c r="H5" s="7" t="s">
        <v>97</v>
      </c>
      <c r="K5" t="s">
        <v>188</v>
      </c>
      <c r="O5" s="42">
        <v>25431</v>
      </c>
    </row>
    <row r="6" spans="1:15" x14ac:dyDescent="0.25">
      <c r="A6" s="25" t="s">
        <v>15</v>
      </c>
      <c r="B6" s="39">
        <f>'Capital funding'!C11+O7</f>
        <v>14617.49</v>
      </c>
      <c r="C6" s="39">
        <f>B6-(12*$O$8)</f>
        <v>12424.85</v>
      </c>
      <c r="D6" s="39">
        <f t="shared" ref="D6:G6" si="1">C6-(12*$O$8)</f>
        <v>10232.210000000001</v>
      </c>
      <c r="E6" s="39">
        <f t="shared" si="1"/>
        <v>8039.5700000000015</v>
      </c>
      <c r="F6" s="39">
        <f t="shared" si="1"/>
        <v>5846.9300000000021</v>
      </c>
      <c r="G6" s="39">
        <f t="shared" si="1"/>
        <v>3654.2900000000022</v>
      </c>
      <c r="H6" s="7" t="s">
        <v>116</v>
      </c>
      <c r="K6" t="s">
        <v>190</v>
      </c>
      <c r="O6" s="42">
        <v>350</v>
      </c>
    </row>
    <row r="7" spans="1:15" x14ac:dyDescent="0.25">
      <c r="A7" s="5" t="s">
        <v>12</v>
      </c>
      <c r="B7" s="77">
        <f>B3+B4+B5-B6</f>
        <v>64863.000000000007</v>
      </c>
      <c r="C7" s="77">
        <f t="shared" ref="C7:G7" si="2">C3+C4+C5-C6</f>
        <v>87394.620000000024</v>
      </c>
      <c r="D7" s="77">
        <f t="shared" si="2"/>
        <v>297291.00939999992</v>
      </c>
      <c r="E7" s="77">
        <f t="shared" si="2"/>
        <v>702025.96034000011</v>
      </c>
      <c r="F7" s="39">
        <f t="shared" si="2"/>
        <v>547880.79909920006</v>
      </c>
      <c r="G7" s="39">
        <f t="shared" si="2"/>
        <v>394360.08246832405</v>
      </c>
      <c r="K7" t="s">
        <v>189</v>
      </c>
      <c r="O7" s="42">
        <v>14617.49</v>
      </c>
    </row>
    <row r="8" spans="1:15" x14ac:dyDescent="0.25">
      <c r="A8" s="6" t="s">
        <v>17</v>
      </c>
      <c r="B8" s="39"/>
      <c r="C8" s="39"/>
      <c r="D8" s="39"/>
      <c r="E8" s="39"/>
      <c r="F8" s="39"/>
      <c r="G8" s="39"/>
      <c r="K8" t="s">
        <v>191</v>
      </c>
      <c r="O8" s="42">
        <v>182.72</v>
      </c>
    </row>
    <row r="9" spans="1:15" x14ac:dyDescent="0.25">
      <c r="A9" s="4" t="s">
        <v>13</v>
      </c>
      <c r="B9" s="39">
        <f>'Capital funding'!C10</f>
        <v>50000</v>
      </c>
      <c r="C9" s="39">
        <f>'Share capital liquidity'!B8</f>
        <v>50000</v>
      </c>
      <c r="D9" s="39">
        <f>'Share capital liquidity'!C8</f>
        <v>251000</v>
      </c>
      <c r="E9" s="39">
        <f>'Share capital liquidity'!D8</f>
        <v>656020</v>
      </c>
      <c r="F9" s="39">
        <f>'Share capital liquidity'!E8</f>
        <v>656020</v>
      </c>
      <c r="G9" s="39">
        <f>'Share capital liquidity'!F8</f>
        <v>656020</v>
      </c>
      <c r="H9" s="7" t="s">
        <v>97</v>
      </c>
    </row>
    <row r="10" spans="1:15" x14ac:dyDescent="0.25">
      <c r="A10" s="4" t="s">
        <v>14</v>
      </c>
      <c r="B10" s="39">
        <v>12863</v>
      </c>
      <c r="C10" s="39">
        <f>B10+'Profit &amp; loss'!B30</f>
        <v>24404.232</v>
      </c>
      <c r="D10" s="39">
        <f>C10+'Profit &amp; loss'!C30</f>
        <v>36606.0314</v>
      </c>
      <c r="E10" s="39">
        <f>D10+'Profit &amp; loss'!D30</f>
        <v>39543.052339999995</v>
      </c>
      <c r="F10" s="39">
        <f>E10+'Profit &amp; loss'!E30</f>
        <v>-110402.1089008</v>
      </c>
      <c r="G10" s="39">
        <f>F10+'Profit &amp; loss'!F30</f>
        <v>-259722.82553167598</v>
      </c>
      <c r="H10" s="7" t="s">
        <v>117</v>
      </c>
    </row>
    <row r="11" spans="1:15" x14ac:dyDescent="0.25">
      <c r="A11" s="4" t="s">
        <v>92</v>
      </c>
      <c r="B11" s="39">
        <f>'Capital funding'!C12</f>
        <v>2000</v>
      </c>
      <c r="C11" s="39"/>
      <c r="D11" s="39"/>
      <c r="E11" s="39"/>
      <c r="F11" s="39"/>
      <c r="G11" s="39"/>
      <c r="H11" s="7" t="s">
        <v>118</v>
      </c>
    </row>
    <row r="12" spans="1:15" x14ac:dyDescent="0.25">
      <c r="A12" s="4" t="s">
        <v>78</v>
      </c>
      <c r="B12" s="39">
        <f>'Capital funding'!C13</f>
        <v>0</v>
      </c>
      <c r="C12" s="39">
        <f>(B12*0.8)</f>
        <v>0</v>
      </c>
      <c r="D12" s="39">
        <f>B12*0.6</f>
        <v>0</v>
      </c>
      <c r="E12" s="39">
        <f>B12*0.4</f>
        <v>0</v>
      </c>
      <c r="F12" s="39">
        <f>B12*0.2</f>
        <v>0</v>
      </c>
      <c r="G12" s="39">
        <v>0</v>
      </c>
      <c r="H12" s="7" t="s">
        <v>118</v>
      </c>
    </row>
    <row r="13" spans="1:15" x14ac:dyDescent="0.25">
      <c r="A13" s="5" t="s">
        <v>16</v>
      </c>
      <c r="B13" s="77">
        <f>B9+B10+B11+B12</f>
        <v>64863</v>
      </c>
      <c r="C13" s="77">
        <f>C9+C10+C11+C12</f>
        <v>74404.232000000004</v>
      </c>
      <c r="D13" s="77">
        <f t="shared" ref="D13:G13" si="3">D9+D10+D11+D12</f>
        <v>287606.03139999998</v>
      </c>
      <c r="E13" s="77">
        <f t="shared" si="3"/>
        <v>695563.05233999994</v>
      </c>
      <c r="F13" s="39">
        <f t="shared" si="3"/>
        <v>545617.8910992</v>
      </c>
      <c r="G13" s="39">
        <f t="shared" si="3"/>
        <v>396297.17446832405</v>
      </c>
      <c r="H13" s="7" t="s">
        <v>97</v>
      </c>
    </row>
    <row r="14" spans="1:15" x14ac:dyDescent="0.25">
      <c r="B14" s="17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74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3"/>
  <sheetViews>
    <sheetView workbookViewId="0">
      <selection activeCell="D8" sqref="D8"/>
    </sheetView>
  </sheetViews>
  <sheetFormatPr defaultRowHeight="15" x14ac:dyDescent="0.25"/>
  <cols>
    <col min="1" max="1" width="25.5703125" customWidth="1"/>
    <col min="2" max="4" width="10.85546875" bestFit="1" customWidth="1"/>
    <col min="5" max="6" width="10.85546875" hidden="1" customWidth="1"/>
    <col min="7" max="7" width="75.85546875" hidden="1" customWidth="1"/>
    <col min="8" max="12" width="75.85546875" customWidth="1"/>
  </cols>
  <sheetData>
    <row r="1" spans="1:7" ht="18.75" x14ac:dyDescent="0.3">
      <c r="A1" s="2" t="s">
        <v>0</v>
      </c>
    </row>
    <row r="2" spans="1:7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7" x14ac:dyDescent="0.25">
      <c r="A3" s="1" t="s">
        <v>7</v>
      </c>
      <c r="B3" s="10">
        <v>0</v>
      </c>
      <c r="C3" s="10">
        <f>B8</f>
        <v>50000</v>
      </c>
      <c r="D3" s="10">
        <f>C8</f>
        <v>251000</v>
      </c>
      <c r="E3" s="10">
        <f>D8</f>
        <v>656020</v>
      </c>
      <c r="F3" s="10">
        <f>E8</f>
        <v>656020</v>
      </c>
      <c r="G3" s="7" t="s">
        <v>97</v>
      </c>
    </row>
    <row r="4" spans="1:7" x14ac:dyDescent="0.25">
      <c r="A4" t="s">
        <v>193</v>
      </c>
      <c r="B4" s="27">
        <f>'Capital funding'!C10</f>
        <v>50000</v>
      </c>
      <c r="C4" s="39">
        <f>25*8000</f>
        <v>200000</v>
      </c>
      <c r="D4" s="39">
        <f>50*8000</f>
        <v>400000</v>
      </c>
      <c r="E4" s="10">
        <f>E3*0.03</f>
        <v>19680.599999999999</v>
      </c>
      <c r="F4" s="10">
        <f>F3*0.03</f>
        <v>19680.599999999999</v>
      </c>
      <c r="G4" s="7" t="s">
        <v>105</v>
      </c>
    </row>
    <row r="5" spans="1:7" x14ac:dyDescent="0.25">
      <c r="A5" t="s">
        <v>10</v>
      </c>
      <c r="B5" s="10">
        <f>'Profit &amp; loss'!B22</f>
        <v>0</v>
      </c>
      <c r="C5" s="10">
        <f>'Profit &amp; loss'!C22</f>
        <v>1000</v>
      </c>
      <c r="D5" s="10">
        <f>'Profit &amp; loss'!D22</f>
        <v>5020</v>
      </c>
      <c r="E5" s="10">
        <f>'Profit &amp; loss'!E22</f>
        <v>13120.4</v>
      </c>
      <c r="F5" s="10">
        <f>'Profit &amp; loss'!F22</f>
        <v>13120.4</v>
      </c>
      <c r="G5" s="7" t="s">
        <v>97</v>
      </c>
    </row>
    <row r="6" spans="1:7" x14ac:dyDescent="0.25">
      <c r="A6" t="s">
        <v>8</v>
      </c>
      <c r="B6" s="10">
        <f>'Profit &amp; loss'!B23</f>
        <v>0</v>
      </c>
      <c r="C6" s="10">
        <f>'Profit &amp; loss'!C23</f>
        <v>0</v>
      </c>
      <c r="D6" s="10">
        <f>'Profit &amp; loss'!D23</f>
        <v>0</v>
      </c>
      <c r="E6" s="10">
        <f>'Profit &amp; loss'!E23</f>
        <v>0</v>
      </c>
      <c r="F6" s="10">
        <f>'Profit &amp; loss'!F23</f>
        <v>0</v>
      </c>
      <c r="G6" s="7" t="s">
        <v>97</v>
      </c>
    </row>
    <row r="7" spans="1:7" x14ac:dyDescent="0.25">
      <c r="A7" t="s">
        <v>65</v>
      </c>
      <c r="B7" s="10">
        <v>0</v>
      </c>
      <c r="C7" s="10">
        <v>0</v>
      </c>
      <c r="D7" s="10">
        <v>0</v>
      </c>
      <c r="E7" s="10">
        <f>E3*0.05</f>
        <v>32801</v>
      </c>
      <c r="F7" s="10">
        <f>F3*0.05</f>
        <v>32801</v>
      </c>
      <c r="G7" s="7" t="s">
        <v>106</v>
      </c>
    </row>
    <row r="8" spans="1:7" x14ac:dyDescent="0.25">
      <c r="A8" s="1" t="s">
        <v>9</v>
      </c>
      <c r="B8" s="10">
        <f t="shared" ref="B8:D8" si="0">(B3+B4+B5+B6)-B7</f>
        <v>50000</v>
      </c>
      <c r="C8" s="10">
        <f t="shared" si="0"/>
        <v>251000</v>
      </c>
      <c r="D8" s="10">
        <f t="shared" si="0"/>
        <v>656020</v>
      </c>
      <c r="E8" s="10">
        <f>(E3+E4+E5+E6)-E7</f>
        <v>656020</v>
      </c>
      <c r="F8" s="10">
        <f>F3+F4+F5+F6-F7</f>
        <v>656020</v>
      </c>
      <c r="G8" s="7" t="s">
        <v>97</v>
      </c>
    </row>
    <row r="9" spans="1:7" x14ac:dyDescent="0.25">
      <c r="A9" s="1"/>
    </row>
    <row r="10" spans="1:7" hidden="1" x14ac:dyDescent="0.25">
      <c r="A10" s="1" t="s">
        <v>67</v>
      </c>
    </row>
    <row r="11" spans="1:7" hidden="1" x14ac:dyDescent="0.25">
      <c r="A11" t="s">
        <v>82</v>
      </c>
    </row>
    <row r="12" spans="1:7" hidden="1" x14ac:dyDescent="0.25">
      <c r="A12" t="s">
        <v>81</v>
      </c>
    </row>
    <row r="13" spans="1:7" hidden="1" x14ac:dyDescent="0.25">
      <c r="A13" t="s">
        <v>83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82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1E58-7393-406F-A2DD-B482B3FC2AA3}">
  <dimension ref="A1:H32"/>
  <sheetViews>
    <sheetView workbookViewId="0">
      <selection activeCell="H13" sqref="H13"/>
    </sheetView>
  </sheetViews>
  <sheetFormatPr defaultRowHeight="15" x14ac:dyDescent="0.25"/>
  <cols>
    <col min="1" max="1" width="19.42578125" style="45" bestFit="1" customWidth="1"/>
    <col min="2" max="2" width="29.7109375" style="45" bestFit="1" customWidth="1"/>
    <col min="3" max="5" width="14.85546875" style="45" bestFit="1" customWidth="1"/>
    <col min="6" max="6" width="14.85546875" style="45" customWidth="1"/>
    <col min="7" max="7" width="9.140625" style="45"/>
    <col min="8" max="8" width="42.85546875" style="45" bestFit="1" customWidth="1"/>
    <col min="9" max="16384" width="9.140625" style="45"/>
  </cols>
  <sheetData>
    <row r="1" spans="1:8" x14ac:dyDescent="0.25">
      <c r="A1" s="1"/>
      <c r="B1" s="1"/>
      <c r="C1" s="43"/>
      <c r="D1" s="43"/>
      <c r="E1" s="43"/>
      <c r="F1" s="43"/>
      <c r="G1" s="1"/>
      <c r="H1" s="44" t="s">
        <v>148</v>
      </c>
    </row>
    <row r="2" spans="1:8" x14ac:dyDescent="0.25">
      <c r="A2" s="1"/>
      <c r="B2" s="1"/>
      <c r="C2" s="46" t="s">
        <v>149</v>
      </c>
      <c r="D2" s="46" t="s">
        <v>150</v>
      </c>
      <c r="E2" s="46" t="s">
        <v>151</v>
      </c>
      <c r="F2" s="46" t="s">
        <v>180</v>
      </c>
      <c r="G2" s="1"/>
      <c r="H2" s="1"/>
    </row>
    <row r="3" spans="1:8" x14ac:dyDescent="0.25">
      <c r="A3" s="1"/>
      <c r="B3" s="1"/>
      <c r="C3" s="46" t="s">
        <v>1</v>
      </c>
      <c r="D3" s="46" t="s">
        <v>2</v>
      </c>
      <c r="E3" s="46" t="s">
        <v>3</v>
      </c>
      <c r="F3" s="46" t="s">
        <v>4</v>
      </c>
      <c r="G3" s="1"/>
      <c r="H3" s="1"/>
    </row>
    <row r="4" spans="1:8" x14ac:dyDescent="0.25">
      <c r="A4" s="47" t="s">
        <v>152</v>
      </c>
      <c r="B4" s="48"/>
      <c r="C4" s="49"/>
      <c r="D4" s="49"/>
      <c r="E4" s="49"/>
      <c r="F4" s="49"/>
    </row>
    <row r="5" spans="1:8" x14ac:dyDescent="0.25">
      <c r="A5" s="50" t="s">
        <v>153</v>
      </c>
      <c r="B5" s="50" t="s">
        <v>169</v>
      </c>
      <c r="C5" s="51">
        <v>92000</v>
      </c>
      <c r="D5" s="51">
        <v>6100</v>
      </c>
      <c r="E5" s="51"/>
      <c r="F5" s="51"/>
      <c r="H5" s="45" t="s">
        <v>170</v>
      </c>
    </row>
    <row r="6" spans="1:8" x14ac:dyDescent="0.25">
      <c r="A6" s="48"/>
      <c r="B6" s="50" t="s">
        <v>174</v>
      </c>
      <c r="C6" s="51">
        <v>32400</v>
      </c>
      <c r="D6" s="51"/>
      <c r="E6" s="51">
        <v>30000</v>
      </c>
      <c r="F6" s="52">
        <v>30000</v>
      </c>
    </row>
    <row r="7" spans="1:8" x14ac:dyDescent="0.25">
      <c r="A7" s="48"/>
      <c r="B7" s="50" t="s">
        <v>154</v>
      </c>
      <c r="C7" s="51"/>
      <c r="D7" s="51">
        <v>30000</v>
      </c>
      <c r="E7" s="51"/>
      <c r="F7" s="52"/>
    </row>
    <row r="8" spans="1:8" x14ac:dyDescent="0.25">
      <c r="A8" s="50"/>
      <c r="B8" s="50" t="s">
        <v>155</v>
      </c>
      <c r="C8" s="51"/>
      <c r="D8" s="51">
        <v>20000</v>
      </c>
      <c r="E8" s="51">
        <v>20000</v>
      </c>
      <c r="F8" s="52">
        <v>20000</v>
      </c>
    </row>
    <row r="9" spans="1:8" ht="15.75" thickBot="1" x14ac:dyDescent="0.3">
      <c r="A9" s="50"/>
      <c r="B9" s="50"/>
      <c r="C9" s="53">
        <f>SUM(C5:C8)</f>
        <v>124400</v>
      </c>
      <c r="D9" s="53">
        <f t="shared" ref="D9:F9" si="0">SUM(D5:D8)</f>
        <v>56100</v>
      </c>
      <c r="E9" s="53">
        <f t="shared" si="0"/>
        <v>50000</v>
      </c>
      <c r="F9" s="54">
        <f t="shared" si="0"/>
        <v>50000</v>
      </c>
    </row>
    <row r="10" spans="1:8" ht="15.75" thickTop="1" x14ac:dyDescent="0.25">
      <c r="A10" s="50" t="s">
        <v>171</v>
      </c>
      <c r="B10" s="50" t="s">
        <v>174</v>
      </c>
      <c r="C10" s="55">
        <f>27000*0.15</f>
        <v>4050</v>
      </c>
      <c r="D10" s="55">
        <f>150000*0.15</f>
        <v>22500</v>
      </c>
      <c r="E10" s="55">
        <v>25000</v>
      </c>
      <c r="F10" s="56">
        <f>200000*0.15</f>
        <v>30000</v>
      </c>
      <c r="H10" s="45" t="s">
        <v>172</v>
      </c>
    </row>
    <row r="11" spans="1:8" x14ac:dyDescent="0.25">
      <c r="A11" s="48"/>
      <c r="B11" s="50" t="s">
        <v>175</v>
      </c>
      <c r="C11" s="55"/>
      <c r="D11" s="55">
        <f>30000*0.15</f>
        <v>4500</v>
      </c>
      <c r="E11" s="55">
        <v>5500</v>
      </c>
      <c r="F11" s="56">
        <f>50000*0.15</f>
        <v>7500</v>
      </c>
      <c r="H11" s="45" t="s">
        <v>173</v>
      </c>
    </row>
    <row r="12" spans="1:8" x14ac:dyDescent="0.25">
      <c r="A12" s="48"/>
      <c r="B12" s="50" t="s">
        <v>154</v>
      </c>
      <c r="C12" s="51"/>
      <c r="D12" s="55">
        <f>50000*0.15</f>
        <v>7500</v>
      </c>
      <c r="E12" s="55">
        <v>10000</v>
      </c>
      <c r="F12" s="56">
        <f>100000*0.15</f>
        <v>15000</v>
      </c>
    </row>
    <row r="13" spans="1:8" x14ac:dyDescent="0.25">
      <c r="A13" s="48"/>
      <c r="B13" s="50" t="s">
        <v>176</v>
      </c>
      <c r="C13" s="51"/>
      <c r="D13" s="55">
        <f t="shared" ref="D13:F13" si="1">30000*0.15</f>
        <v>4500</v>
      </c>
      <c r="E13" s="55">
        <f t="shared" si="1"/>
        <v>4500</v>
      </c>
      <c r="F13" s="56">
        <f t="shared" si="1"/>
        <v>4500</v>
      </c>
    </row>
    <row r="14" spans="1:8" x14ac:dyDescent="0.25">
      <c r="A14" s="48"/>
      <c r="B14" s="50" t="s">
        <v>177</v>
      </c>
      <c r="C14" s="57">
        <f>15000*0.15</f>
        <v>2250</v>
      </c>
      <c r="D14" s="57">
        <f>30000*0.15</f>
        <v>4500</v>
      </c>
      <c r="E14" s="57">
        <f>45000*0.15</f>
        <v>6750</v>
      </c>
      <c r="F14" s="58">
        <v>7500</v>
      </c>
    </row>
    <row r="15" spans="1:8" ht="15.75" thickBot="1" x14ac:dyDescent="0.3">
      <c r="A15" s="48"/>
      <c r="B15" s="50"/>
      <c r="C15" s="53">
        <f>SUM(C10:C14)</f>
        <v>6300</v>
      </c>
      <c r="D15" s="53">
        <f>SUM(D10:D14)</f>
        <v>43500</v>
      </c>
      <c r="E15" s="53">
        <f>SUM(E10:E14)</f>
        <v>51750</v>
      </c>
      <c r="F15" s="54">
        <f>SUM(F10:F14)</f>
        <v>64500</v>
      </c>
    </row>
    <row r="16" spans="1:8" ht="15.75" thickTop="1" x14ac:dyDescent="0.25">
      <c r="A16" s="48"/>
      <c r="B16" s="50"/>
      <c r="C16" s="59"/>
      <c r="D16" s="59"/>
      <c r="E16" s="59"/>
      <c r="F16" s="59"/>
    </row>
    <row r="17" spans="1:8" x14ac:dyDescent="0.25">
      <c r="A17" s="47" t="s">
        <v>156</v>
      </c>
      <c r="B17" s="48"/>
      <c r="C17" s="60"/>
      <c r="D17" s="51"/>
      <c r="E17" s="51"/>
      <c r="F17" s="51"/>
    </row>
    <row r="18" spans="1:8" x14ac:dyDescent="0.25">
      <c r="A18" s="50" t="s">
        <v>157</v>
      </c>
      <c r="B18" s="61" t="s">
        <v>158</v>
      </c>
      <c r="C18" s="62"/>
      <c r="D18" s="63">
        <v>4000</v>
      </c>
      <c r="E18" s="51"/>
      <c r="F18" s="51"/>
    </row>
    <row r="19" spans="1:8" x14ac:dyDescent="0.25">
      <c r="A19" s="48"/>
      <c r="B19" s="61" t="s">
        <v>159</v>
      </c>
      <c r="C19" s="62"/>
      <c r="D19" s="63">
        <v>6000</v>
      </c>
      <c r="E19" s="51"/>
      <c r="F19" s="51"/>
    </row>
    <row r="20" spans="1:8" x14ac:dyDescent="0.25">
      <c r="A20" s="48"/>
      <c r="B20" s="50" t="s">
        <v>160</v>
      </c>
      <c r="C20" s="64"/>
      <c r="D20" s="55"/>
      <c r="E20" s="55">
        <f>'Share capital liquidity'!C4*0.1</f>
        <v>20000</v>
      </c>
      <c r="F20" s="55">
        <f>'Share capital liquidity'!D4*0.1</f>
        <v>40000</v>
      </c>
      <c r="H20" s="45" t="s">
        <v>161</v>
      </c>
    </row>
    <row r="21" spans="1:8" x14ac:dyDescent="0.25">
      <c r="A21" s="48"/>
      <c r="B21" s="50" t="s">
        <v>162</v>
      </c>
      <c r="C21" s="60"/>
      <c r="D21" s="58">
        <f>SUM(C18:C19)*0.3</f>
        <v>0</v>
      </c>
      <c r="E21" s="58">
        <f>SUM(D18:D20)*0.3</f>
        <v>3000</v>
      </c>
      <c r="F21" s="58">
        <f>SUM(E18:E20)*0.3+E21</f>
        <v>9000</v>
      </c>
      <c r="G21" s="65"/>
      <c r="H21" s="65" t="s">
        <v>163</v>
      </c>
    </row>
    <row r="22" spans="1:8" ht="15.75" thickBot="1" x14ac:dyDescent="0.3">
      <c r="A22" s="48"/>
      <c r="B22" s="50"/>
      <c r="C22" s="66">
        <f>SUM(C18:C21)</f>
        <v>0</v>
      </c>
      <c r="D22" s="66">
        <f>SUM(D18:D21)</f>
        <v>10000</v>
      </c>
      <c r="E22" s="66">
        <f t="shared" ref="E22" si="2">SUM(E18:E21)</f>
        <v>23000</v>
      </c>
      <c r="F22" s="66">
        <f t="shared" ref="F22" si="3">SUM(F18:F21)</f>
        <v>49000</v>
      </c>
    </row>
    <row r="23" spans="1:8" ht="15.75" thickTop="1" x14ac:dyDescent="0.25">
      <c r="A23" s="48"/>
      <c r="B23" s="50"/>
      <c r="C23" s="64"/>
      <c r="D23" s="59"/>
      <c r="E23" s="59"/>
      <c r="F23" s="59"/>
    </row>
    <row r="24" spans="1:8" x14ac:dyDescent="0.25">
      <c r="A24" s="47" t="s">
        <v>164</v>
      </c>
      <c r="B24" s="48"/>
      <c r="C24" s="51"/>
      <c r="D24" s="51"/>
      <c r="E24" s="51"/>
      <c r="F24" s="51"/>
    </row>
    <row r="25" spans="1:8" x14ac:dyDescent="0.25">
      <c r="A25" s="48"/>
      <c r="B25" s="50" t="s">
        <v>165</v>
      </c>
      <c r="C25" s="55"/>
      <c r="D25" s="55">
        <f>20*200</f>
        <v>4000</v>
      </c>
      <c r="E25" s="55">
        <f>60*200</f>
        <v>12000</v>
      </c>
      <c r="F25" s="55">
        <f>60*200</f>
        <v>12000</v>
      </c>
      <c r="H25" s="67" t="s">
        <v>166</v>
      </c>
    </row>
    <row r="26" spans="1:8" x14ac:dyDescent="0.25">
      <c r="A26" s="68"/>
      <c r="B26" s="69" t="s">
        <v>167</v>
      </c>
      <c r="C26" s="57"/>
      <c r="D26" s="57">
        <f>2*500</f>
        <v>1000</v>
      </c>
      <c r="E26" s="57">
        <f>10*500</f>
        <v>5000</v>
      </c>
      <c r="F26" s="57">
        <f>10*500</f>
        <v>5000</v>
      </c>
      <c r="H26" s="67" t="s">
        <v>168</v>
      </c>
    </row>
    <row r="27" spans="1:8" ht="15.75" thickBot="1" x14ac:dyDescent="0.3">
      <c r="A27" s="70"/>
      <c r="B27" s="71"/>
      <c r="C27" s="72">
        <f>SUM(C24:C26)</f>
        <v>0</v>
      </c>
      <c r="D27" s="72">
        <f>SUM(D24:D26)</f>
        <v>5000</v>
      </c>
      <c r="E27" s="72">
        <f>SUM(E24:E26)</f>
        <v>17000</v>
      </c>
      <c r="F27" s="72">
        <f>SUM(F24:F26)</f>
        <v>17000</v>
      </c>
    </row>
    <row r="28" spans="1:8" ht="15.75" thickTop="1" x14ac:dyDescent="0.25">
      <c r="A28" s="71"/>
      <c r="B28" s="71"/>
      <c r="C28" s="73"/>
      <c r="D28" s="73"/>
      <c r="E28" s="73"/>
      <c r="F28" s="73"/>
    </row>
    <row r="29" spans="1:8" x14ac:dyDescent="0.25">
      <c r="A29" s="74" t="s">
        <v>181</v>
      </c>
      <c r="B29" s="71"/>
      <c r="C29" s="71"/>
      <c r="D29" s="71"/>
      <c r="E29" s="71"/>
      <c r="F29" s="71"/>
    </row>
    <row r="30" spans="1:8" x14ac:dyDescent="0.25">
      <c r="A30" s="71"/>
      <c r="B30" s="71" t="s">
        <v>182</v>
      </c>
      <c r="C30" s="62">
        <f>350*12</f>
        <v>4200</v>
      </c>
      <c r="D30" s="62">
        <f>C30</f>
        <v>4200</v>
      </c>
      <c r="E30" s="62">
        <f>C30</f>
        <v>4200</v>
      </c>
      <c r="F30" s="62">
        <f>C30</f>
        <v>4200</v>
      </c>
    </row>
    <row r="31" spans="1:8" ht="15.75" thickBot="1" x14ac:dyDescent="0.3">
      <c r="A31" s="71"/>
      <c r="B31" s="71"/>
      <c r="C31" s="75">
        <f>SUM(C30:C30)</f>
        <v>4200</v>
      </c>
      <c r="D31" s="75">
        <f>SUM(D30:D30)</f>
        <v>4200</v>
      </c>
      <c r="E31" s="75">
        <f>SUM(E30:E30)</f>
        <v>4200</v>
      </c>
      <c r="F31" s="75">
        <f>SUM(F30:F30)</f>
        <v>4200</v>
      </c>
    </row>
    <row r="32" spans="1:8" ht="15.75" thickTop="1" x14ac:dyDescent="0.25"/>
  </sheetData>
  <pageMargins left="0.7" right="0.7" top="0.75" bottom="0.75" header="0.3" footer="0.3"/>
  <pageSetup orientation="portrait" r:id="rId1"/>
  <ignoredErrors>
    <ignoredError sqref="D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Profit &amp; loss</vt:lpstr>
      <vt:lpstr>Capital funding</vt:lpstr>
      <vt:lpstr>Cash flow (year one)</vt:lpstr>
      <vt:lpstr>Cash flow (years 1-3)</vt:lpstr>
      <vt:lpstr>Balance sheet</vt:lpstr>
      <vt:lpstr>Share capital liquidity</vt:lpstr>
      <vt:lpstr>Projected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Brown</dc:creator>
  <cp:lastModifiedBy>Tim</cp:lastModifiedBy>
  <cp:lastPrinted>2016-01-05T15:32:34Z</cp:lastPrinted>
  <dcterms:created xsi:type="dcterms:W3CDTF">2015-06-15T09:08:13Z</dcterms:created>
  <dcterms:modified xsi:type="dcterms:W3CDTF">2021-01-21T18:31:35Z</dcterms:modified>
</cp:coreProperties>
</file>